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0835" windowHeight="9735"/>
  </bookViews>
  <sheets>
    <sheet name="Geral" sheetId="1" r:id="rId1"/>
    <sheet name="Operador Chefe" sheetId="4" r:id="rId2"/>
    <sheet name="Oper áudio" sheetId="2" r:id="rId3"/>
    <sheet name="Insumos" sheetId="3" r:id="rId4"/>
    <sheet name="EPI" sheetId="5" r:id="rId5"/>
  </sheets>
  <calcPr calcId="145621" iterateDelta="1E-4"/>
</workbook>
</file>

<file path=xl/calcChain.xml><?xml version="1.0" encoding="utf-8"?>
<calcChain xmlns="http://schemas.openxmlformats.org/spreadsheetml/2006/main">
  <c r="E4" i="1" l="1"/>
  <c r="E5" i="1" l="1"/>
  <c r="E6" i="1" s="1"/>
  <c r="D6" i="1"/>
  <c r="C6" i="1"/>
  <c r="C5" i="1"/>
  <c r="I43" i="4"/>
  <c r="H43" i="4"/>
  <c r="H42" i="4"/>
  <c r="H27" i="4"/>
  <c r="I27" i="4" s="1"/>
  <c r="I27" i="2"/>
  <c r="H27" i="2"/>
  <c r="R25" i="3" l="1"/>
  <c r="S25" i="3" s="1"/>
  <c r="T25" i="3" s="1"/>
  <c r="R26" i="3"/>
  <c r="S26" i="3" s="1"/>
  <c r="T26" i="3" s="1"/>
  <c r="K3" i="5"/>
  <c r="L3" i="5" s="1"/>
  <c r="M3" i="5" s="1"/>
  <c r="K2" i="5"/>
  <c r="L2" i="5" s="1"/>
  <c r="M2" i="5" l="1"/>
  <c r="M4" i="5" s="1"/>
  <c r="I42" i="2" s="1"/>
  <c r="L4" i="5"/>
  <c r="I28" i="4"/>
  <c r="R6" i="3"/>
  <c r="S6" i="3" s="1"/>
  <c r="T6" i="3" s="1"/>
  <c r="R9" i="3"/>
  <c r="R8" i="3"/>
  <c r="R4" i="3"/>
  <c r="I28" i="2"/>
  <c r="I29" i="4"/>
  <c r="R30" i="3"/>
  <c r="S30" i="3" s="1"/>
  <c r="T30" i="3" s="1"/>
  <c r="R29" i="3"/>
  <c r="S29" i="3" s="1"/>
  <c r="T29" i="3" s="1"/>
  <c r="R28" i="3"/>
  <c r="S28" i="3" s="1"/>
  <c r="T28" i="3" s="1"/>
  <c r="R27" i="3"/>
  <c r="S27" i="3" s="1"/>
  <c r="T27" i="3" s="1"/>
  <c r="R24" i="3"/>
  <c r="S24" i="3" s="1"/>
  <c r="T24" i="3" s="1"/>
  <c r="R23" i="3"/>
  <c r="S23" i="3" s="1"/>
  <c r="T23" i="3" s="1"/>
  <c r="R22" i="3"/>
  <c r="S22" i="3" s="1"/>
  <c r="T22" i="3" s="1"/>
  <c r="R21" i="3"/>
  <c r="S21" i="3" s="1"/>
  <c r="T21" i="3" s="1"/>
  <c r="R20" i="3"/>
  <c r="S20" i="3" s="1"/>
  <c r="T20" i="3" s="1"/>
  <c r="R19" i="3"/>
  <c r="S19" i="3" s="1"/>
  <c r="T19" i="3" s="1"/>
  <c r="R18" i="3"/>
  <c r="S18" i="3" s="1"/>
  <c r="T18" i="3" s="1"/>
  <c r="R12" i="3"/>
  <c r="S12" i="3" s="1"/>
  <c r="T12" i="3" s="1"/>
  <c r="R14" i="3"/>
  <c r="S14" i="3" s="1"/>
  <c r="T14" i="3" s="1"/>
  <c r="S9" i="3"/>
  <c r="T9" i="3" s="1"/>
  <c r="R13" i="3"/>
  <c r="S13" i="3" s="1"/>
  <c r="T13" i="3" s="1"/>
  <c r="R11" i="3"/>
  <c r="S11" i="3" s="1"/>
  <c r="T11" i="3" s="1"/>
  <c r="R10" i="3"/>
  <c r="S10" i="3" s="1"/>
  <c r="T10" i="3" s="1"/>
  <c r="S8" i="3"/>
  <c r="T8" i="3" s="1"/>
  <c r="R7" i="3"/>
  <c r="S7" i="3" s="1"/>
  <c r="T7" i="3" s="1"/>
  <c r="R5" i="3"/>
  <c r="S5" i="3" s="1"/>
  <c r="T5" i="3" s="1"/>
  <c r="T31" i="3" l="1"/>
  <c r="R3" i="3"/>
  <c r="F126" i="4"/>
  <c r="H123" i="4"/>
  <c r="H120" i="4"/>
  <c r="H127" i="4" s="1"/>
  <c r="H98" i="4"/>
  <c r="H97" i="4"/>
  <c r="H95" i="4"/>
  <c r="H94" i="4"/>
  <c r="H87" i="4"/>
  <c r="H86" i="4"/>
  <c r="H85" i="4"/>
  <c r="H83" i="4"/>
  <c r="H82" i="4"/>
  <c r="H75" i="4"/>
  <c r="H68" i="4"/>
  <c r="H60" i="4"/>
  <c r="H106" i="4" s="1"/>
  <c r="I44" i="4"/>
  <c r="I37" i="4"/>
  <c r="I36" i="4"/>
  <c r="H88" i="4" l="1"/>
  <c r="H69" i="4"/>
  <c r="H99" i="4"/>
  <c r="H100" i="4" s="1"/>
  <c r="H76" i="4"/>
  <c r="H77" i="4" s="1"/>
  <c r="H108" i="4" s="1"/>
  <c r="I38" i="4"/>
  <c r="I135" i="4" s="1"/>
  <c r="I31" i="4"/>
  <c r="I134" i="4" s="1"/>
  <c r="H70" i="4"/>
  <c r="H107" i="4" s="1"/>
  <c r="H84" i="4"/>
  <c r="I57" i="4" l="1"/>
  <c r="I87" i="4"/>
  <c r="I82" i="4"/>
  <c r="I95" i="4"/>
  <c r="I96" i="4"/>
  <c r="I67" i="4"/>
  <c r="I68" i="4" s="1"/>
  <c r="I85" i="4"/>
  <c r="I94" i="4"/>
  <c r="I76" i="4"/>
  <c r="I53" i="4"/>
  <c r="I75" i="4"/>
  <c r="I56" i="4"/>
  <c r="I54" i="4"/>
  <c r="I98" i="4"/>
  <c r="I59" i="4"/>
  <c r="I58" i="4"/>
  <c r="I52" i="4"/>
  <c r="I55" i="4"/>
  <c r="I100" i="4"/>
  <c r="I69" i="4"/>
  <c r="I84" i="4"/>
  <c r="I83" i="4"/>
  <c r="I86" i="4"/>
  <c r="I88" i="4"/>
  <c r="I97" i="4"/>
  <c r="H101" i="4"/>
  <c r="H110" i="4" s="1"/>
  <c r="H89" i="4"/>
  <c r="S4" i="3"/>
  <c r="T4" i="3" s="1"/>
  <c r="S3" i="3"/>
  <c r="T3" i="3" s="1"/>
  <c r="F125" i="2"/>
  <c r="H122" i="2"/>
  <c r="H119" i="2"/>
  <c r="H126" i="2" s="1"/>
  <c r="H97" i="2"/>
  <c r="H96" i="2"/>
  <c r="H94" i="2"/>
  <c r="H93" i="2"/>
  <c r="H86" i="2"/>
  <c r="H85" i="2"/>
  <c r="H84" i="2"/>
  <c r="H82" i="2"/>
  <c r="H81" i="2"/>
  <c r="H74" i="2"/>
  <c r="H67" i="2"/>
  <c r="H59" i="2"/>
  <c r="I43" i="2"/>
  <c r="I77" i="4" l="1"/>
  <c r="I108" i="4" s="1"/>
  <c r="S15" i="3"/>
  <c r="S34" i="3" s="1"/>
  <c r="H41" i="2" s="1"/>
  <c r="I41" i="2" s="1"/>
  <c r="I70" i="4"/>
  <c r="I107" i="4" s="1"/>
  <c r="I60" i="4"/>
  <c r="I106" i="4" s="1"/>
  <c r="I99" i="4"/>
  <c r="I101" i="4" s="1"/>
  <c r="I110" i="4" s="1"/>
  <c r="I89" i="4"/>
  <c r="I109" i="4" s="1"/>
  <c r="H109" i="4"/>
  <c r="H112" i="4" s="1"/>
  <c r="H87" i="2"/>
  <c r="H68" i="2"/>
  <c r="H69" i="2" s="1"/>
  <c r="H106" i="2" s="1"/>
  <c r="H98" i="2"/>
  <c r="H99" i="2" s="1"/>
  <c r="H83" i="2"/>
  <c r="I35" i="2"/>
  <c r="I37" i="2" s="1"/>
  <c r="I134" i="2" s="1"/>
  <c r="H105" i="2"/>
  <c r="I30" i="2"/>
  <c r="H75" i="2"/>
  <c r="I112" i="4" l="1"/>
  <c r="I137" i="4" s="1"/>
  <c r="H88" i="2"/>
  <c r="I44" i="2"/>
  <c r="I135" i="2" s="1"/>
  <c r="I42" i="4"/>
  <c r="I45" i="4" s="1"/>
  <c r="I136" i="4" s="1"/>
  <c r="H45" i="4"/>
  <c r="I95" i="2"/>
  <c r="I58" i="2"/>
  <c r="I54" i="2"/>
  <c r="I52" i="2"/>
  <c r="I94" i="2"/>
  <c r="I66" i="2"/>
  <c r="I67" i="2" s="1"/>
  <c r="I57" i="2"/>
  <c r="I53" i="2"/>
  <c r="I133" i="2"/>
  <c r="I93" i="2"/>
  <c r="I85" i="2"/>
  <c r="I81" i="2"/>
  <c r="I55" i="2"/>
  <c r="I51" i="2"/>
  <c r="I56" i="2"/>
  <c r="I86" i="2"/>
  <c r="I87" i="2"/>
  <c r="I82" i="2"/>
  <c r="I74" i="2"/>
  <c r="I96" i="2"/>
  <c r="I83" i="2"/>
  <c r="I68" i="2"/>
  <c r="I69" i="2" s="1"/>
  <c r="I106" i="2" s="1"/>
  <c r="I97" i="2"/>
  <c r="I84" i="2"/>
  <c r="I99" i="2"/>
  <c r="I75" i="2"/>
  <c r="I88" i="2"/>
  <c r="I108" i="2" s="1"/>
  <c r="H108" i="2"/>
  <c r="H76" i="2"/>
  <c r="H107" i="2" s="1"/>
  <c r="H100" i="2"/>
  <c r="H109" i="2" s="1"/>
  <c r="I138" i="4" l="1"/>
  <c r="I117" i="4" s="1"/>
  <c r="I118" i="4" s="1"/>
  <c r="I119" i="4" s="1"/>
  <c r="H44" i="2"/>
  <c r="H111" i="2"/>
  <c r="I59" i="2"/>
  <c r="I105" i="2" s="1"/>
  <c r="I76" i="2"/>
  <c r="I107" i="2" s="1"/>
  <c r="I98" i="2"/>
  <c r="I100" i="2" s="1"/>
  <c r="I109" i="2" s="1"/>
  <c r="I120" i="4" l="1"/>
  <c r="I121" i="4" s="1"/>
  <c r="I122" i="4" s="1"/>
  <c r="I111" i="2"/>
  <c r="I136" i="2" s="1"/>
  <c r="I137" i="2" s="1"/>
  <c r="I116" i="2" s="1"/>
  <c r="I126" i="4" l="1"/>
  <c r="I125" i="4"/>
  <c r="I124" i="4"/>
  <c r="I117" i="2"/>
  <c r="I118" i="2" s="1"/>
  <c r="I119" i="2" s="1"/>
  <c r="I123" i="4" l="1"/>
  <c r="I127" i="4"/>
  <c r="I139" i="4" s="1"/>
  <c r="I140" i="4" s="1"/>
  <c r="I120" i="2"/>
  <c r="I121" i="2" s="1"/>
  <c r="I123" i="2" l="1"/>
  <c r="I125" i="2"/>
  <c r="I124" i="2"/>
  <c r="I122" i="2" l="1"/>
  <c r="I126" i="2"/>
  <c r="I138" i="2" s="1"/>
  <c r="I139" i="2" s="1"/>
  <c r="C4" i="1" s="1"/>
</calcChain>
</file>

<file path=xl/comments1.xml><?xml version="1.0" encoding="utf-8"?>
<comments xmlns="http://schemas.openxmlformats.org/spreadsheetml/2006/main">
  <authors>
    <author>itamar.fonseca</author>
  </authors>
  <commentList>
    <comment ref="I37" authorId="0">
      <text>
        <r>
          <rPr>
            <sz val="8"/>
            <color indexed="81"/>
            <rFont val="Tahoma"/>
            <family val="2"/>
          </rPr>
          <t xml:space="preserve">Previsto nos Acordos, Convenções ou Sentenças Normativas
em Dissídios. Coletivos.
</t>
        </r>
      </text>
    </comment>
  </commentList>
</comments>
</file>

<file path=xl/comments2.xml><?xml version="1.0" encoding="utf-8"?>
<comments xmlns="http://schemas.openxmlformats.org/spreadsheetml/2006/main">
  <authors>
    <author>itamar.fonseca</author>
  </authors>
  <commentList>
    <comment ref="I36" authorId="0">
      <text>
        <r>
          <rPr>
            <sz val="8"/>
            <color indexed="81"/>
            <rFont val="Tahoma"/>
            <family val="2"/>
          </rPr>
          <t>Previsto nos Acordos, Convenções ou Sentenças Normativas
em Dissídios. Coletivos.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<sst xmlns="http://schemas.openxmlformats.org/spreadsheetml/2006/main" count="589" uniqueCount="252">
  <si>
    <t>PODER JUDICIÁRIO</t>
  </si>
  <si>
    <t>JUSTIÇA DO TRABALHO</t>
  </si>
  <si>
    <t>TRIBUNAL REGIONAL DO TRABALHO DA 9ª REGIÃO</t>
  </si>
  <si>
    <t xml:space="preserve">PLANILHA DE CUSTOS E FORMAÇÃO DE PREÇOS   </t>
  </si>
  <si>
    <t>Nº do Processo</t>
  </si>
  <si>
    <t xml:space="preserve">PO </t>
  </si>
  <si>
    <t>Licitação Nº</t>
  </si>
  <si>
    <t>Dia ___/___/___ às ___:___ horas.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</si>
  <si>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</si>
  <si>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</si>
  <si>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</si>
  <si>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</si>
  <si>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</si>
  <si>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</si>
  <si>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</si>
  <si>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</si>
  <si>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MÓDULO DE MÃO -DE-OBRA, VINCULADA À EXECUÇÃO CONTRATUAL</t>
  </si>
  <si>
    <t>Dados Complementares para composição dos custos referente à mão-de-obra</t>
  </si>
  <si>
    <t>Tipo de Serviço</t>
  </si>
  <si>
    <t>Salário Normativo da Categoria Profissional</t>
  </si>
  <si>
    <t>Categoria profissional</t>
  </si>
  <si>
    <t>Quantidade de pessoas no posto</t>
  </si>
  <si>
    <t>Data Base da categoria (dia/mês/ano)</t>
  </si>
  <si>
    <t>Módulo 1: COMPOSIÇÃO DA REMUNERAÇÃO</t>
  </si>
  <si>
    <t>Composição da Remuneração</t>
  </si>
  <si>
    <t>Qtde</t>
  </si>
  <si>
    <t>Valor ou %</t>
  </si>
  <si>
    <t>Valor (R$)</t>
  </si>
  <si>
    <t>Observações/Fundamentos Legais</t>
  </si>
  <si>
    <t>Salário Base - (Cláusula 3a CCT)</t>
  </si>
  <si>
    <t>H</t>
  </si>
  <si>
    <t>Remuneração Total</t>
  </si>
  <si>
    <t>Módulo 2: BENEFÍCIOS MENSAIS E DIÁRIOS</t>
  </si>
  <si>
    <t>Benefícios Mensais e Diários</t>
  </si>
  <si>
    <t>Valor</t>
  </si>
  <si>
    <t>Observações/Fundamentos legais/Memória de Cálculo</t>
  </si>
  <si>
    <t>Transporte (Desc. Empregado 6%)  Lei 7.418/75</t>
  </si>
  <si>
    <t>Desconto de 6% sobre o salário do empregado - Lei 7.418/75</t>
  </si>
  <si>
    <t>E</t>
  </si>
  <si>
    <t>F</t>
  </si>
  <si>
    <t>Total de benefícios mensais e diários</t>
  </si>
  <si>
    <r>
      <t>Nota</t>
    </r>
    <r>
      <rPr>
        <sz val="10"/>
        <rFont val="Bookman Old Style"/>
        <family val="1"/>
      </rPr>
      <t>: o valor informado deverá ser o custo real do insumo (descontado o valor eventualmente pago pelo empregado).</t>
    </r>
  </si>
  <si>
    <t>Insumos Diversos</t>
  </si>
  <si>
    <t>Observações/Fundamentação Legal e Memória de Cálculo</t>
  </si>
  <si>
    <t>Pesquisa de mercado planilhas insumos</t>
  </si>
  <si>
    <t>Resolução CSJT 98/2012</t>
  </si>
  <si>
    <t>Total de insumos diversos</t>
  </si>
  <si>
    <t>Módulo 4: ENCARGOS SOCIAIS E TRABALHISTAS</t>
  </si>
  <si>
    <t>Submódulo 4.1 - Encargos previdenciários e FGTS:</t>
  </si>
  <si>
    <t>4.1</t>
  </si>
  <si>
    <t>Encargos previdenciários e FGTS:</t>
  </si>
  <si>
    <t>%</t>
  </si>
  <si>
    <t>Observações/Fundamento Legal/Memória de Cáculo</t>
  </si>
  <si>
    <t>INSS</t>
  </si>
  <si>
    <t>Lei 8.221/91 art. 22, I</t>
  </si>
  <si>
    <t>SESI ou SESC</t>
  </si>
  <si>
    <t>Lei 8.036/90 artigo 30</t>
  </si>
  <si>
    <t>SENAI ou SENAC Decreto-lei 9.853/46 art. 3º, § 2º</t>
  </si>
  <si>
    <t>Decreto-lei 9.853/46 art. 3º, § 2</t>
  </si>
  <si>
    <t>INCRA Decreto-lei 1.146/70 art. 1º, I</t>
  </si>
  <si>
    <t>Decreto/lei 1.146/70 art. 1º, I</t>
  </si>
  <si>
    <t>Salário Educação Decreto 87.043/82 - artigo 3º, I</t>
  </si>
  <si>
    <t>Decreto 87.403/82 - art. 3º, I</t>
  </si>
  <si>
    <t>FGTS - Lei 8.036/90 art. 15 e Art. 7o, III da C.F.</t>
  </si>
  <si>
    <t>Lei 8036/90 art. 15 e art. 7º, III da CF</t>
  </si>
  <si>
    <t>G</t>
  </si>
  <si>
    <t>Seguro acidente do trabalho - Lei 8.212/91. art. 22, II, "b" e "c"</t>
  </si>
  <si>
    <t>Lei 8.212/91 art. 22, II, "b" e "c"</t>
  </si>
  <si>
    <t>SEBRAE - Lei 8.029/90</t>
  </si>
  <si>
    <t>Lei 8.029/90</t>
  </si>
  <si>
    <t>TOTAL</t>
  </si>
  <si>
    <r>
      <t xml:space="preserve">Nota: </t>
    </r>
    <r>
      <rPr>
        <sz val="10"/>
        <rFont val="Bookman Old Style"/>
        <family val="1"/>
      </rPr>
      <t>(1) - Os percentuais dos encargos previdenciários e FGTS são aqueles estabelecidos pela legislação vigente.</t>
    </r>
  </si>
  <si>
    <r>
      <t>Nota:</t>
    </r>
    <r>
      <rPr>
        <sz val="10"/>
        <rFont val="Bookman Old Style"/>
        <family val="1"/>
      </rPr>
      <t xml:space="preserve"> (2) - Percentuais incidentes sobre a remuneração.</t>
    </r>
  </si>
  <si>
    <t>Submódulo 4.2 - 13º Salário</t>
  </si>
  <si>
    <t>4.2</t>
  </si>
  <si>
    <t>13º Salário</t>
  </si>
  <si>
    <t>Observações/Fundamento Legal/Memória de Cálculo</t>
  </si>
  <si>
    <t xml:space="preserve">13º Salário  - Resolução CNJ 98/2009 (5/56)x100 </t>
  </si>
  <si>
    <t>Res. CNJ 98/2009 -Provisão mensal considerando que na duração do contrato de 60 meses o empregado tem 5 meses de férias e labora 56. (5/56)x100=8,93%</t>
  </si>
  <si>
    <t>Subtotal</t>
  </si>
  <si>
    <t>Incidência do Submódulo 4.1 sobre 13º Salário</t>
  </si>
  <si>
    <t>36,80%x8,93%</t>
  </si>
  <si>
    <t>Submódulo 4.3 - Afastamento Maternidade</t>
  </si>
  <si>
    <t>4.3</t>
  </si>
  <si>
    <t>Afastamento Maternidade</t>
  </si>
  <si>
    <t>Obervações/Fundamento Legal/Memória de Cálculo</t>
  </si>
  <si>
    <t>Afastamento Maternidade - Estimativa de 1% dos empregados usufruindo 04 meses de licença por ano</t>
  </si>
  <si>
    <t>Férias sobre licença maternidade: (0,1191+0,8933)x0,01x(4/12))x100</t>
  </si>
  <si>
    <t>Incidência do Submódulo 4.1 sobre afastamento maternidade</t>
  </si>
  <si>
    <t>Submódulo 4.4 - Provisão para Rescisão</t>
  </si>
  <si>
    <t>4.4</t>
  </si>
  <si>
    <t>Provisão para Rescisão</t>
  </si>
  <si>
    <t>Observações/Fundamento legal/memória de Cálculo</t>
  </si>
  <si>
    <t>Aviso prévio indenizado - Estudos Trevisan (levantamento 80% de demissões)</t>
  </si>
  <si>
    <t>Levantamento Trevisan 80% pessoal demitido e não cumpre aviso prévio. 23,40% pede demissão(((30/365,25)/30,55)*12)*0,8*(1-0,234/30,55*12)</t>
  </si>
  <si>
    <t xml:space="preserve">Aviso prévio Lei 12.506/11 (Acresce 03 dias para cada ano - Estimativa de 5% de demissões nesta situação) </t>
  </si>
  <si>
    <t xml:space="preserve">Incidência do FGTS sobre aviso prévio indenizado </t>
  </si>
  <si>
    <t>Incidência dos 8% sobre a soma do aviso prévio indenizado + aviso da lei 12.506/11</t>
  </si>
  <si>
    <t>Indenização Adicional - Art. 9o da Lei 7.238/84 - Estimativa de 2% de demissões em situação de recebimento de indenização adicional</t>
  </si>
  <si>
    <t>Indenização pela demissão próxima da data base(0,02x(1/12))x100</t>
  </si>
  <si>
    <t>Multa sobre FGTS e contribuições sociais sobre o aviso prévio</t>
  </si>
  <si>
    <t>Lei Complementar 110/2001 e Lei 8.036/90 art. 18§1º - Considerando que 10% dos empregados pedem contas a penalidade recai sobre os 90%. 0,08x0,5x0,9x(1+5/56+5/56+1/3x5/56)</t>
  </si>
  <si>
    <t>Aviso prévio trabalhado - Estudos Trevisan 20% de demitidos que cumprem aviso</t>
  </si>
  <si>
    <t>Art. 7º, XXI, CF/88 art. 477 487 e s.s. da CLT Levantamento Trevisan 20% pessoal demitido e cumpre aviso trabalhado 23,40% ((((7/30)/12)/30,55)*12)*0,2*(1-0,234/30,55*12)</t>
  </si>
  <si>
    <t>Incidência do Submódulo 4.1 sobre aviso prévio trabalhado</t>
  </si>
  <si>
    <t>Submódulo 4.5 - Custo de Reposição do Profissional Ausente</t>
  </si>
  <si>
    <t>4.5</t>
  </si>
  <si>
    <t>Composição do Custo de Reposição do Profissional Ausente</t>
  </si>
  <si>
    <t>Observações/Fundamento legal/ Memória de Cálculo</t>
  </si>
  <si>
    <t>Férias e Terço Const. De Férias - Est. CNJ Res. 98/2009 - Duração do contrato de 60 meses empregado tem 05 meses de férias e labora 56.</t>
  </si>
  <si>
    <t>(5/56)x100=8,93% e somou-se o terço (1/3)*(5/56)x100=2,98% totalizando 11,91%</t>
  </si>
  <si>
    <t>Ausência por doença - Art. 18 da Lei 8.212/91 e art. 476 CLT - Acórdão 1753/2008 TCU</t>
  </si>
  <si>
    <t>(5,96dias/30)/12x100= 1,66%</t>
  </si>
  <si>
    <t>Licença paternidade - art. 7º, XIX CF c/c art. 10,§1º da ADCT 05 dias filhos de 1,5% dos trabalhadores</t>
  </si>
  <si>
    <t>((5dias/30)/12)x0,015x100= 0,02%</t>
  </si>
  <si>
    <t>Ausências legais Art. 131, I e Art. 473, I a IX da CLT Acórdão TCU 1753/2008 (morte cônjuge/ascendente/descendente/casamento/doação de sangue/comparecimento a juízo/alistamento eleitoral)</t>
  </si>
  <si>
    <t>Média de 2,96 dias de faltas= (2,96/30)*(1/12)=0,82%</t>
  </si>
  <si>
    <t>Ausência por Acidente de trabalho Lei 6367/76 e art. 473 CLT - Art. 19 a 23 da Lei 8.213/91</t>
  </si>
  <si>
    <t>Estimativa de 0,91 dias por ano ((0,91/30)/12)x100=0,25%</t>
  </si>
  <si>
    <t>Incidência do submódulo 4.1 sobre o Custo de reposição</t>
  </si>
  <si>
    <t>36,80%x15,80</t>
  </si>
  <si>
    <t>Somatória</t>
  </si>
  <si>
    <t>Quadro - resumo - Módulo 4 - Encargos sociais e trabalhistas</t>
  </si>
  <si>
    <t>Módulo 4 - Encargos sociais e trabalhistas</t>
  </si>
  <si>
    <t>Observações/Fund. Legal/Memória de Cálculo</t>
  </si>
  <si>
    <t>Encargos previdenciários e FGTS</t>
  </si>
  <si>
    <t>Soma dos encargos Módulo 4.1</t>
  </si>
  <si>
    <t>13º (décimo terceiro) salário</t>
  </si>
  <si>
    <t>Soma do módulo 4.2</t>
  </si>
  <si>
    <t>Afastamento maternidade</t>
  </si>
  <si>
    <t>Soma do módulo 4.3</t>
  </si>
  <si>
    <t>Custo de rescisão</t>
  </si>
  <si>
    <t>Soma do módulo 4.4</t>
  </si>
  <si>
    <t>Custo de reposição do profissional ausente</t>
  </si>
  <si>
    <t>Soma do módulo 4.5</t>
  </si>
  <si>
    <t>4.6</t>
  </si>
  <si>
    <t>Outros (especificar)</t>
  </si>
  <si>
    <t>Módulo 5: CUSTOS INDIRETOS, TRIBUTOS E LUCRO</t>
  </si>
  <si>
    <t>Custos Indiretos, tributos e Lucro</t>
  </si>
  <si>
    <t>Custos Indiretos/Despesas Administrativas</t>
  </si>
  <si>
    <t>Base de Cálculo do Lucro (Subtotal + Custos Indiretos)</t>
  </si>
  <si>
    <t>Lucro</t>
  </si>
  <si>
    <t>Conforme Manual MPOG</t>
  </si>
  <si>
    <t>Soma</t>
  </si>
  <si>
    <t>Base de Cálculo Tributos (Subtotal/(1-0,0865)</t>
  </si>
  <si>
    <t>Tributos</t>
  </si>
  <si>
    <t>C1. Tributos Federais (PIS e COFINS)</t>
  </si>
  <si>
    <t>C2. Tributos Estaduais (especificar)</t>
  </si>
  <si>
    <t>C3. Tributos Municipais (ISS)</t>
  </si>
  <si>
    <t>Município:</t>
  </si>
  <si>
    <t>Nota (1) - Custos Indiretos, Tributos e Lucro por empregado.</t>
  </si>
  <si>
    <t>Nota (2) - O valor referente a tributos é obtido aplicando-se o percentual sobre o valor do faturamento.</t>
  </si>
  <si>
    <t>ANEXO III - B - Quadro-resumo do Custo por empregado</t>
  </si>
  <si>
    <t>Mão-de-obra vinculada à execução contratual (valor por empregado)</t>
  </si>
  <si>
    <t>Observações/Fund. Legal/memória de Cálculo</t>
  </si>
  <si>
    <t>Módulo 1 - Coomposição da remuneração</t>
  </si>
  <si>
    <t>Módulo 2 - Benefícios Mensais e Diários</t>
  </si>
  <si>
    <t>Módulo 3 - Insumos Diversos (uniformes, materiais, equipamentos e outros)</t>
  </si>
  <si>
    <t>Módulo 4 - Encargos Sociais e Trabalhistas</t>
  </si>
  <si>
    <t>Subtotal (A+B+C+D)</t>
  </si>
  <si>
    <t>Módulo 5 - Custos indiretos, tributos e lucro</t>
  </si>
  <si>
    <t>Valor total por posto</t>
  </si>
  <si>
    <t>2015/2017</t>
  </si>
  <si>
    <t>Cláusula 21a CCT</t>
  </si>
  <si>
    <t>Mercado Livre</t>
  </si>
  <si>
    <t>Média</t>
  </si>
  <si>
    <t>Valor Anual</t>
  </si>
  <si>
    <t>Crachá</t>
  </si>
  <si>
    <t>Valor Mensal</t>
  </si>
  <si>
    <t>Baseou-se no tempo médio de permanência da funcionária no Contrato Anterior do Tribunal que foi de aprox. 02 anos (30,55 meses) Lei 12.506/11 acresce 03 dias ao aviso prévio, considerou-se 06 dias. ((6/730,5)*0,05)*100</t>
  </si>
  <si>
    <t xml:space="preserve">PLANILHAS DE CUSTO E FORMAÇÃO DE PREÇOS </t>
  </si>
  <si>
    <t>Item</t>
  </si>
  <si>
    <t>Valor Mensal do Posto</t>
  </si>
  <si>
    <t xml:space="preserve">Valor Mensal </t>
  </si>
  <si>
    <t xml:space="preserve">Posto  </t>
  </si>
  <si>
    <t>Valor Total</t>
  </si>
  <si>
    <t>Utilizou-se o valor do salário de um Engenheiro em Segurança do Trabalho (pesquisa internet) R$ 4.663,00, dividiu-se por 220 (divisor para encontrar valor das horas) = 21,19 e multiplicou-se por 02 (horas mensais exigidas pela Resolução) e obteve-se o valor de R$ 42,38 e rateou-se pela quantidade de trabalhadores (2) (=42,38/2= 21,19)</t>
  </si>
  <si>
    <t>Supervisor</t>
  </si>
  <si>
    <t>Terno Social Completo</t>
  </si>
  <si>
    <t>Camisa Branca de Algodão Manga Longa</t>
  </si>
  <si>
    <t>Camisa Branca de Manga Curta</t>
  </si>
  <si>
    <t>Camiseta Branca</t>
  </si>
  <si>
    <t>Cinto Preto</t>
  </si>
  <si>
    <t>Calça Social Preta</t>
  </si>
  <si>
    <t>Calça Jeans Preta</t>
  </si>
  <si>
    <t>Sapato Preto Antiderrapante</t>
  </si>
  <si>
    <t>Meias</t>
  </si>
  <si>
    <t>Suéter de fio preto</t>
  </si>
  <si>
    <t>Jaqueta Impermeável preta com zíper</t>
  </si>
  <si>
    <t>Colombo</t>
  </si>
  <si>
    <t>PO 11/15</t>
  </si>
  <si>
    <t>Uniformes Masculino</t>
  </si>
  <si>
    <t>Uniformes Femininos</t>
  </si>
  <si>
    <t>Terno Social Preto</t>
  </si>
  <si>
    <t>Renner</t>
  </si>
  <si>
    <t>Camisa Branca Algodão Manga Longa</t>
  </si>
  <si>
    <t>Brasil Postos</t>
  </si>
  <si>
    <t>sjons Modas</t>
  </si>
  <si>
    <t>Técnico Operador de Áudio</t>
  </si>
  <si>
    <t>SINDRAD</t>
  </si>
  <si>
    <t>Acúmulo de Função</t>
  </si>
  <si>
    <t>Anuênio</t>
  </si>
  <si>
    <t>Dafiti</t>
  </si>
  <si>
    <t>Tecno</t>
  </si>
  <si>
    <t>Global Cards</t>
  </si>
  <si>
    <t>C&amp;A</t>
  </si>
  <si>
    <t>Camisa Branca Manga Curta</t>
  </si>
  <si>
    <t>Sapato preto salto baixo</t>
  </si>
  <si>
    <t>Alpargata preta ou sliper preto</t>
  </si>
  <si>
    <t>Meia calça preta fio 40</t>
  </si>
  <si>
    <t>po 11/15</t>
  </si>
  <si>
    <t>posthaus</t>
  </si>
  <si>
    <t>Moda Executiva</t>
  </si>
  <si>
    <t>Americanas</t>
  </si>
  <si>
    <t>Ricardo Eletro</t>
  </si>
  <si>
    <t>Drogaria Net</t>
  </si>
  <si>
    <t>Clovis Calçados</t>
  </si>
  <si>
    <t>BomPrix</t>
  </si>
  <si>
    <t>Valor Mensal Total</t>
  </si>
  <si>
    <t>Utilizou-se o valor do salário de um Engenheiro em Segurança do Trabalho (pesquisa internet) R$ 4.663,00, dividiu-se por 220 (divisor para encontrar valor das horas) = 21,19 e multiplicou-se por 02 (horas mensais exigidas pela Resolução) e obteve-se o valor de R$ 42,38 e rateou-se pela quantidade de trabalhadores (4) (=42,38/4= 10,56)</t>
  </si>
  <si>
    <t>Seguro de Vida</t>
  </si>
  <si>
    <t>Cláusula 15a CCT, Decreto 84.134/79 Acórdão TRT 1 RO 00105628720145010046</t>
  </si>
  <si>
    <t>OPERADOR DE ÁUDIO</t>
  </si>
  <si>
    <t>Responsabilidade de Chefia</t>
  </si>
  <si>
    <t xml:space="preserve">Claúsula 10a </t>
  </si>
  <si>
    <t>Cláusula 14a Poderá ser solicitado o reequilíbrio após completar um ano do contrato, devendo ser requerido junto com a repactuação</t>
  </si>
  <si>
    <t>Twig</t>
  </si>
  <si>
    <t>Quechua</t>
  </si>
  <si>
    <t>Bota de Segurança com biqueira em PVC</t>
  </si>
  <si>
    <t>Qtde Anual</t>
  </si>
  <si>
    <t>Torch Tools</t>
  </si>
  <si>
    <t>Loja Mecânico</t>
  </si>
  <si>
    <t>EPI Brasil</t>
  </si>
  <si>
    <t>Super EPI</t>
  </si>
  <si>
    <t>Marcia no EPI</t>
  </si>
  <si>
    <t>ADECIL</t>
  </si>
  <si>
    <t>Anual</t>
  </si>
  <si>
    <t>Mensal</t>
  </si>
  <si>
    <t>Luva pigmentada</t>
  </si>
  <si>
    <t>E outros que se fizerem necessários conforme legislação aplicável</t>
  </si>
  <si>
    <t>EPI Supervisor</t>
  </si>
  <si>
    <t>Uniformes</t>
  </si>
  <si>
    <t>EPI</t>
  </si>
  <si>
    <t>Operador de Áudio Chefe</t>
  </si>
  <si>
    <t xml:space="preserve">Uniformes </t>
  </si>
  <si>
    <t xml:space="preserve">Cláusula 3a, com acréscimo de 30% </t>
  </si>
  <si>
    <t>cláusula 15a</t>
  </si>
  <si>
    <t>Cláusula 3a com acréscimo de 30% em virtude da valorização salarial de pesquisa de mercado</t>
  </si>
  <si>
    <t>Cláusula 14a A partir do 1o ano poderá ser solicitado o reequilíbrio juntamente com a repactuação</t>
  </si>
  <si>
    <t>Cláusula 21a CCT - utilizou-se como base o valor praticado pela empresa que atualmente presta serviço</t>
  </si>
  <si>
    <t>Pesquisa de mercado planilha EPI</t>
  </si>
  <si>
    <t>OPERADOR DE ÁUDIO CHEFE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</si>
</sst>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(&quot;R$ &quot;* #,##0.00_);_(&quot;R$ &quot;* \(#,##0.00\);_(&quot;R$ &quot;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  <font>
      <b/>
      <sz val="12"/>
      <color theme="1"/>
      <name val="Arial Rounded MT Bold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Bookman Old Style"/>
      <family val="1"/>
    </font>
    <font>
      <b/>
      <i/>
      <sz val="10"/>
      <name val="Bookman Old Style"/>
      <family val="1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Bookman Old Style"/>
      <family val="1"/>
    </font>
    <font>
      <sz val="10"/>
      <color theme="1"/>
      <name val="Calibri"/>
      <family val="2"/>
      <scheme val="minor"/>
    </font>
    <font>
      <u/>
      <sz val="10"/>
      <name val="Bookman Old Style"/>
      <family val="1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8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14" fontId="2" fillId="2" borderId="3" xfId="0" applyNumberFormat="1" applyFont="1" applyFill="1" applyBorder="1" applyAlignment="1">
      <alignment vertical="center" wrapText="1"/>
    </xf>
    <xf numFmtId="14" fontId="2" fillId="2" borderId="4" xfId="0" applyNumberFormat="1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0" fillId="0" borderId="7" xfId="0" applyBorder="1"/>
    <xf numFmtId="0" fontId="2" fillId="2" borderId="1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8" fontId="6" fillId="2" borderId="5" xfId="0" applyNumberFormat="1" applyFont="1" applyFill="1" applyBorder="1" applyAlignment="1">
      <alignment horizontal="left" vertical="center" wrapText="1"/>
    </xf>
    <xf numFmtId="44" fontId="6" fillId="2" borderId="14" xfId="2" applyFont="1" applyFill="1" applyBorder="1" applyAlignment="1">
      <alignment horizontal="left" vertical="center" wrapText="1"/>
    </xf>
    <xf numFmtId="10" fontId="6" fillId="2" borderId="5" xfId="3" applyNumberFormat="1" applyFont="1" applyFill="1" applyBorder="1" applyAlignment="1">
      <alignment horizontal="left" vertical="center" wrapText="1"/>
    </xf>
    <xf numFmtId="9" fontId="6" fillId="2" borderId="5" xfId="3" applyFont="1" applyFill="1" applyBorder="1" applyAlignment="1">
      <alignment horizontal="left" vertical="center" wrapText="1"/>
    </xf>
    <xf numFmtId="0" fontId="0" fillId="0" borderId="14" xfId="0" applyBorder="1"/>
    <xf numFmtId="44" fontId="0" fillId="0" borderId="0" xfId="0" applyNumberFormat="1"/>
    <xf numFmtId="0" fontId="6" fillId="3" borderId="5" xfId="0" applyFont="1" applyFill="1" applyBorder="1" applyAlignment="1">
      <alignment horizontal="left" vertical="center"/>
    </xf>
    <xf numFmtId="0" fontId="8" fillId="0" borderId="14" xfId="0" applyFont="1" applyBorder="1" applyAlignment="1">
      <alignment wrapText="1"/>
    </xf>
    <xf numFmtId="1" fontId="2" fillId="2" borderId="14" xfId="1" applyNumberFormat="1" applyFont="1" applyFill="1" applyBorder="1" applyAlignment="1">
      <alignment horizontal="left" vertical="center"/>
    </xf>
    <xf numFmtId="43" fontId="2" fillId="3" borderId="14" xfId="1" applyFont="1" applyFill="1" applyBorder="1" applyAlignment="1" applyProtection="1">
      <alignment horizontal="left" vertical="center"/>
    </xf>
    <xf numFmtId="43" fontId="2" fillId="2" borderId="5" xfId="1" applyFont="1" applyFill="1" applyBorder="1" applyAlignment="1" applyProtection="1">
      <alignment horizontal="left" vertical="center"/>
    </xf>
    <xf numFmtId="1" fontId="2" fillId="2" borderId="14" xfId="0" applyNumberFormat="1" applyFont="1" applyFill="1" applyBorder="1" applyAlignment="1">
      <alignment horizontal="left" vertical="center"/>
    </xf>
    <xf numFmtId="0" fontId="9" fillId="0" borderId="14" xfId="0" applyFont="1" applyBorder="1" applyAlignment="1">
      <alignment wrapText="1"/>
    </xf>
    <xf numFmtId="0" fontId="2" fillId="3" borderId="14" xfId="0" applyFont="1" applyFill="1" applyBorder="1" applyAlignment="1">
      <alignment horizontal="left" vertical="center"/>
    </xf>
    <xf numFmtId="43" fontId="6" fillId="2" borderId="5" xfId="1" applyFont="1" applyFill="1" applyBorder="1" applyAlignment="1" applyProtection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43" fontId="10" fillId="3" borderId="14" xfId="1" applyFont="1" applyFill="1" applyBorder="1" applyAlignment="1" applyProtection="1">
      <alignment horizontal="left" vertical="center"/>
    </xf>
    <xf numFmtId="43" fontId="10" fillId="2" borderId="14" xfId="1" applyFont="1" applyFill="1" applyBorder="1" applyAlignment="1" applyProtection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43" fontId="6" fillId="2" borderId="14" xfId="1" applyFont="1" applyFill="1" applyBorder="1" applyAlignment="1" applyProtection="1">
      <alignment horizontal="left" vertical="center"/>
    </xf>
    <xf numFmtId="43" fontId="6" fillId="2" borderId="0" xfId="0" applyNumberFormat="1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10" fontId="2" fillId="2" borderId="2" xfId="3" applyNumberFormat="1" applyFont="1" applyFill="1" applyBorder="1" applyAlignment="1">
      <alignment horizontal="left" vertical="center"/>
    </xf>
    <xf numFmtId="43" fontId="2" fillId="2" borderId="3" xfId="1" applyFont="1" applyFill="1" applyBorder="1" applyAlignment="1">
      <alignment horizontal="left" vertical="center"/>
    </xf>
    <xf numFmtId="0" fontId="0" fillId="0" borderId="18" xfId="0" applyBorder="1" applyAlignment="1">
      <alignment wrapText="1"/>
    </xf>
    <xf numFmtId="0" fontId="2" fillId="2" borderId="18" xfId="0" applyFont="1" applyFill="1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2" fillId="2" borderId="19" xfId="0" applyFont="1" applyFill="1" applyBorder="1" applyAlignment="1">
      <alignment horizontal="left" vertical="center"/>
    </xf>
    <xf numFmtId="10" fontId="2" fillId="2" borderId="20" xfId="3" applyNumberFormat="1" applyFont="1" applyFill="1" applyBorder="1" applyAlignment="1">
      <alignment horizontal="left" vertical="center"/>
    </xf>
    <xf numFmtId="43" fontId="2" fillId="2" borderId="21" xfId="1" applyFont="1" applyFill="1" applyBorder="1" applyAlignment="1">
      <alignment horizontal="left" vertical="center"/>
    </xf>
    <xf numFmtId="0" fontId="0" fillId="0" borderId="22" xfId="0" applyBorder="1" applyAlignment="1">
      <alignment wrapText="1"/>
    </xf>
    <xf numFmtId="10" fontId="6" fillId="2" borderId="26" xfId="3" applyNumberFormat="1" applyFont="1" applyFill="1" applyBorder="1" applyAlignment="1">
      <alignment horizontal="left" vertical="center"/>
    </xf>
    <xf numFmtId="43" fontId="6" fillId="2" borderId="23" xfId="1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9" fontId="2" fillId="3" borderId="22" xfId="3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8" fillId="0" borderId="22" xfId="0" applyFont="1" applyBorder="1" applyAlignment="1">
      <alignment wrapText="1"/>
    </xf>
    <xf numFmtId="0" fontId="2" fillId="3" borderId="22" xfId="0" applyFont="1" applyFill="1" applyBorder="1" applyAlignment="1">
      <alignment horizontal="left" vertical="center"/>
    </xf>
    <xf numFmtId="10" fontId="2" fillId="3" borderId="22" xfId="3" applyNumberFormat="1" applyFont="1" applyFill="1" applyBorder="1" applyAlignment="1">
      <alignment horizontal="left" vertical="center"/>
    </xf>
    <xf numFmtId="43" fontId="2" fillId="3" borderId="28" xfId="1" applyFont="1" applyFill="1" applyBorder="1" applyAlignment="1">
      <alignment horizontal="left" vertical="center"/>
    </xf>
    <xf numFmtId="0" fontId="11" fillId="0" borderId="22" xfId="0" applyFont="1" applyBorder="1" applyAlignment="1">
      <alignment wrapText="1"/>
    </xf>
    <xf numFmtId="0" fontId="2" fillId="3" borderId="30" xfId="0" applyFont="1" applyFill="1" applyBorder="1" applyAlignment="1">
      <alignment horizontal="left" vertical="center"/>
    </xf>
    <xf numFmtId="10" fontId="2" fillId="3" borderId="30" xfId="3" applyNumberFormat="1" applyFont="1" applyFill="1" applyBorder="1" applyAlignment="1">
      <alignment horizontal="left" vertical="center"/>
    </xf>
    <xf numFmtId="43" fontId="2" fillId="3" borderId="32" xfId="1" applyFont="1" applyFill="1" applyBorder="1" applyAlignment="1">
      <alignment horizontal="left" vertical="center"/>
    </xf>
    <xf numFmtId="10" fontId="6" fillId="3" borderId="26" xfId="3" applyNumberFormat="1" applyFont="1" applyFill="1" applyBorder="1" applyAlignment="1">
      <alignment horizontal="left" vertical="center"/>
    </xf>
    <xf numFmtId="43" fontId="6" fillId="3" borderId="23" xfId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10" fontId="2" fillId="3" borderId="14" xfId="3" applyNumberFormat="1" applyFont="1" applyFill="1" applyBorder="1" applyAlignment="1">
      <alignment horizontal="left" vertical="center"/>
    </xf>
    <xf numFmtId="43" fontId="2" fillId="3" borderId="34" xfId="1" applyFont="1" applyFill="1" applyBorder="1" applyAlignment="1">
      <alignment horizontal="left" vertical="center"/>
    </xf>
    <xf numFmtId="0" fontId="0" fillId="0" borderId="35" xfId="0" applyBorder="1" applyAlignment="1">
      <alignment wrapText="1"/>
    </xf>
    <xf numFmtId="0" fontId="2" fillId="3" borderId="35" xfId="0" applyFont="1" applyFill="1" applyBorder="1" applyAlignment="1">
      <alignment horizontal="left" vertical="center"/>
    </xf>
    <xf numFmtId="164" fontId="6" fillId="3" borderId="23" xfId="0" applyNumberFormat="1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35" xfId="0" applyFont="1" applyFill="1" applyBorder="1" applyAlignment="1">
      <alignment horizontal="left" vertical="center"/>
    </xf>
    <xf numFmtId="0" fontId="6" fillId="3" borderId="39" xfId="0" applyFont="1" applyFill="1" applyBorder="1" applyAlignment="1">
      <alignment horizontal="left" vertical="center"/>
    </xf>
    <xf numFmtId="10" fontId="2" fillId="3" borderId="35" xfId="3" applyNumberFormat="1" applyFont="1" applyFill="1" applyBorder="1" applyAlignment="1">
      <alignment horizontal="left" vertical="center"/>
    </xf>
    <xf numFmtId="0" fontId="8" fillId="0" borderId="35" xfId="0" applyFont="1" applyBorder="1" applyAlignment="1">
      <alignment wrapText="1"/>
    </xf>
    <xf numFmtId="0" fontId="11" fillId="0" borderId="35" xfId="0" applyFont="1" applyBorder="1" applyAlignment="1">
      <alignment wrapText="1"/>
    </xf>
    <xf numFmtId="0" fontId="0" fillId="4" borderId="35" xfId="0" applyFill="1" applyBorder="1" applyAlignment="1">
      <alignment wrapText="1"/>
    </xf>
    <xf numFmtId="0" fontId="11" fillId="4" borderId="35" xfId="0" applyFont="1" applyFill="1" applyBorder="1" applyAlignment="1">
      <alignment wrapText="1"/>
    </xf>
    <xf numFmtId="43" fontId="6" fillId="3" borderId="34" xfId="1" applyFont="1" applyFill="1" applyBorder="1" applyAlignment="1">
      <alignment horizontal="left" vertical="center"/>
    </xf>
    <xf numFmtId="3" fontId="2" fillId="3" borderId="0" xfId="0" applyNumberFormat="1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/>
    </xf>
    <xf numFmtId="44" fontId="6" fillId="3" borderId="0" xfId="2" applyFont="1" applyFill="1" applyBorder="1" applyAlignment="1" applyProtection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6" fillId="3" borderId="35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/>
    </xf>
    <xf numFmtId="0" fontId="8" fillId="4" borderId="35" xfId="0" applyFont="1" applyFill="1" applyBorder="1" applyAlignment="1">
      <alignment wrapText="1"/>
    </xf>
    <xf numFmtId="10" fontId="6" fillId="3" borderId="14" xfId="3" applyNumberFormat="1" applyFont="1" applyFill="1" applyBorder="1" applyAlignment="1">
      <alignment horizontal="left" vertical="center"/>
    </xf>
    <xf numFmtId="43" fontId="6" fillId="3" borderId="47" xfId="1" applyFont="1" applyFill="1" applyBorder="1" applyAlignment="1">
      <alignment horizontal="left" vertical="center"/>
    </xf>
    <xf numFmtId="0" fontId="2" fillId="3" borderId="49" xfId="0" applyFont="1" applyFill="1" applyBorder="1" applyAlignment="1">
      <alignment horizontal="left" vertical="center"/>
    </xf>
    <xf numFmtId="10" fontId="2" fillId="3" borderId="51" xfId="3" applyNumberFormat="1" applyFont="1" applyFill="1" applyBorder="1" applyAlignment="1">
      <alignment horizontal="left" vertical="center"/>
    </xf>
    <xf numFmtId="43" fontId="2" fillId="3" borderId="52" xfId="1" applyFont="1" applyFill="1" applyBorder="1" applyAlignment="1">
      <alignment horizontal="left" vertical="center"/>
    </xf>
    <xf numFmtId="0" fontId="8" fillId="4" borderId="53" xfId="0" applyFont="1" applyFill="1" applyBorder="1" applyAlignment="1">
      <alignment wrapText="1"/>
    </xf>
    <xf numFmtId="0" fontId="0" fillId="4" borderId="53" xfId="0" applyFill="1" applyBorder="1" applyAlignment="1">
      <alignment wrapText="1"/>
    </xf>
    <xf numFmtId="0" fontId="6" fillId="3" borderId="54" xfId="0" applyFont="1" applyFill="1" applyBorder="1" applyAlignment="1">
      <alignment horizontal="left" vertical="center"/>
    </xf>
    <xf numFmtId="0" fontId="6" fillId="3" borderId="56" xfId="0" applyFont="1" applyFill="1" applyBorder="1" applyAlignment="1">
      <alignment horizontal="left" vertical="center"/>
    </xf>
    <xf numFmtId="0" fontId="0" fillId="0" borderId="53" xfId="0" applyBorder="1" applyAlignment="1">
      <alignment wrapText="1"/>
    </xf>
    <xf numFmtId="0" fontId="2" fillId="3" borderId="54" xfId="0" applyFont="1" applyFill="1" applyBorder="1" applyAlignment="1">
      <alignment horizontal="left" vertical="center"/>
    </xf>
    <xf numFmtId="10" fontId="6" fillId="3" borderId="14" xfId="0" applyNumberFormat="1" applyFont="1" applyFill="1" applyBorder="1" applyAlignment="1">
      <alignment horizontal="left" vertical="center"/>
    </xf>
    <xf numFmtId="43" fontId="2" fillId="3" borderId="56" xfId="1" applyFont="1" applyFill="1" applyBorder="1" applyAlignment="1">
      <alignment horizontal="left" vertical="center"/>
    </xf>
    <xf numFmtId="0" fontId="8" fillId="0" borderId="53" xfId="0" applyFont="1" applyBorder="1" applyAlignment="1">
      <alignment wrapText="1"/>
    </xf>
    <xf numFmtId="0" fontId="2" fillId="3" borderId="57" xfId="0" applyFont="1" applyFill="1" applyBorder="1" applyAlignment="1">
      <alignment horizontal="left" vertical="center"/>
    </xf>
    <xf numFmtId="0" fontId="6" fillId="3" borderId="59" xfId="0" applyFont="1" applyFill="1" applyBorder="1" applyAlignment="1">
      <alignment horizontal="left" vertical="center"/>
    </xf>
    <xf numFmtId="43" fontId="2" fillId="3" borderId="60" xfId="1" applyFont="1" applyFill="1" applyBorder="1" applyAlignment="1">
      <alignment horizontal="left" vertical="center"/>
    </xf>
    <xf numFmtId="10" fontId="6" fillId="3" borderId="26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/>
    </xf>
    <xf numFmtId="10" fontId="2" fillId="3" borderId="16" xfId="3" applyNumberFormat="1" applyFont="1" applyFill="1" applyBorder="1" applyAlignment="1">
      <alignment horizontal="left" vertical="center"/>
    </xf>
    <xf numFmtId="43" fontId="2" fillId="3" borderId="17" xfId="1" applyFont="1" applyFill="1" applyBorder="1" applyAlignment="1">
      <alignment horizontal="left" vertical="center"/>
    </xf>
    <xf numFmtId="10" fontId="2" fillId="3" borderId="54" xfId="3" applyNumberFormat="1" applyFont="1" applyFill="1" applyBorder="1" applyAlignment="1">
      <alignment horizontal="left" vertical="center"/>
    </xf>
    <xf numFmtId="10" fontId="6" fillId="3" borderId="45" xfId="3" applyNumberFormat="1" applyFont="1" applyFill="1" applyBorder="1" applyAlignment="1">
      <alignment horizontal="left" vertical="center"/>
    </xf>
    <xf numFmtId="43" fontId="6" fillId="3" borderId="17" xfId="1" applyFont="1" applyFill="1" applyBorder="1" applyAlignment="1">
      <alignment horizontal="left" vertical="center"/>
    </xf>
    <xf numFmtId="0" fontId="0" fillId="0" borderId="65" xfId="0" applyBorder="1" applyAlignment="1">
      <alignment wrapText="1"/>
    </xf>
    <xf numFmtId="10" fontId="6" fillId="3" borderId="69" xfId="3" applyNumberFormat="1" applyFont="1" applyFill="1" applyBorder="1" applyAlignment="1">
      <alignment horizontal="left" vertical="center"/>
    </xf>
    <xf numFmtId="0" fontId="0" fillId="0" borderId="70" xfId="0" applyBorder="1" applyAlignment="1">
      <alignment wrapText="1"/>
    </xf>
    <xf numFmtId="10" fontId="6" fillId="3" borderId="74" xfId="3" applyNumberFormat="1" applyFont="1" applyFill="1" applyBorder="1" applyAlignment="1">
      <alignment horizontal="left" vertical="center"/>
    </xf>
    <xf numFmtId="0" fontId="0" fillId="0" borderId="75" xfId="0" applyBorder="1" applyAlignment="1">
      <alignment wrapText="1"/>
    </xf>
    <xf numFmtId="0" fontId="2" fillId="3" borderId="75" xfId="0" applyFont="1" applyFill="1" applyBorder="1" applyAlignment="1">
      <alignment horizontal="left" vertical="center"/>
    </xf>
    <xf numFmtId="43" fontId="6" fillId="3" borderId="76" xfId="1" applyFont="1" applyFill="1" applyBorder="1" applyAlignment="1">
      <alignment horizontal="left" vertical="center"/>
    </xf>
    <xf numFmtId="10" fontId="2" fillId="3" borderId="74" xfId="3" applyNumberFormat="1" applyFont="1" applyFill="1" applyBorder="1" applyAlignment="1">
      <alignment horizontal="left" vertical="center"/>
    </xf>
    <xf numFmtId="43" fontId="2" fillId="3" borderId="76" xfId="1" applyFont="1" applyFill="1" applyBorder="1" applyAlignment="1">
      <alignment horizontal="left" vertical="center"/>
    </xf>
    <xf numFmtId="10" fontId="2" fillId="3" borderId="80" xfId="3" applyNumberFormat="1" applyFont="1" applyFill="1" applyBorder="1" applyAlignment="1">
      <alignment horizontal="left" vertical="center"/>
    </xf>
    <xf numFmtId="43" fontId="2" fillId="3" borderId="81" xfId="1" applyFont="1" applyFill="1" applyBorder="1" applyAlignment="1">
      <alignment horizontal="left" vertical="center"/>
    </xf>
    <xf numFmtId="0" fontId="0" fillId="0" borderId="82" xfId="0" applyBorder="1" applyAlignment="1">
      <alignment wrapText="1"/>
    </xf>
    <xf numFmtId="10" fontId="6" fillId="3" borderId="80" xfId="3" applyNumberFormat="1" applyFont="1" applyFill="1" applyBorder="1" applyAlignment="1">
      <alignment horizontal="left" vertical="center"/>
    </xf>
    <xf numFmtId="43" fontId="6" fillId="3" borderId="81" xfId="1" applyFont="1" applyFill="1" applyBorder="1" applyAlignment="1">
      <alignment horizontal="left" vertical="center"/>
    </xf>
    <xf numFmtId="0" fontId="6" fillId="2" borderId="86" xfId="0" applyFont="1" applyFill="1" applyBorder="1" applyAlignment="1">
      <alignment horizontal="left" vertical="center"/>
    </xf>
    <xf numFmtId="0" fontId="6" fillId="2" borderId="90" xfId="0" applyFont="1" applyFill="1" applyBorder="1" applyAlignment="1">
      <alignment horizontal="left" vertical="center"/>
    </xf>
    <xf numFmtId="0" fontId="0" fillId="0" borderId="86" xfId="0" applyBorder="1" applyAlignment="1">
      <alignment wrapText="1"/>
    </xf>
    <xf numFmtId="0" fontId="2" fillId="2" borderId="86" xfId="0" applyFont="1" applyFill="1" applyBorder="1" applyAlignment="1">
      <alignment horizontal="left" vertical="center"/>
    </xf>
    <xf numFmtId="0" fontId="2" fillId="5" borderId="91" xfId="0" applyFont="1" applyFill="1" applyBorder="1" applyAlignment="1">
      <alignment horizontal="left" vertical="center"/>
    </xf>
    <xf numFmtId="43" fontId="2" fillId="2" borderId="86" xfId="1" applyFont="1" applyFill="1" applyBorder="1" applyAlignment="1">
      <alignment horizontal="left" vertical="center"/>
    </xf>
    <xf numFmtId="0" fontId="6" fillId="5" borderId="91" xfId="0" applyFont="1" applyFill="1" applyBorder="1" applyAlignment="1">
      <alignment horizontal="left" vertical="center"/>
    </xf>
    <xf numFmtId="43" fontId="6" fillId="2" borderId="86" xfId="1" applyFont="1" applyFill="1" applyBorder="1" applyAlignment="1">
      <alignment horizontal="left" vertical="center"/>
    </xf>
    <xf numFmtId="0" fontId="2" fillId="2" borderId="92" xfId="0" applyFont="1" applyFill="1" applyBorder="1" applyAlignment="1">
      <alignment horizontal="left" vertical="center"/>
    </xf>
    <xf numFmtId="0" fontId="2" fillId="5" borderId="96" xfId="0" applyFont="1" applyFill="1" applyBorder="1" applyAlignment="1">
      <alignment horizontal="left" vertical="center"/>
    </xf>
    <xf numFmtId="43" fontId="2" fillId="2" borderId="92" xfId="1" applyFont="1" applyFill="1" applyBorder="1" applyAlignment="1">
      <alignment horizontal="left" vertical="center"/>
    </xf>
    <xf numFmtId="0" fontId="6" fillId="5" borderId="23" xfId="0" applyFont="1" applyFill="1" applyBorder="1" applyAlignment="1">
      <alignment horizontal="left" vertical="center"/>
    </xf>
    <xf numFmtId="43" fontId="6" fillId="2" borderId="97" xfId="1" applyFont="1" applyFill="1" applyBorder="1" applyAlignment="1">
      <alignment horizontal="left" vertical="center"/>
    </xf>
    <xf numFmtId="0" fontId="2" fillId="2" borderId="8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2" fillId="3" borderId="75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54" xfId="0" applyFont="1" applyFill="1" applyBorder="1" applyAlignment="1">
      <alignment horizontal="left" vertical="center"/>
    </xf>
    <xf numFmtId="0" fontId="2" fillId="3" borderId="57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/>
    </xf>
    <xf numFmtId="0" fontId="16" fillId="0" borderId="26" xfId="0" applyFont="1" applyBorder="1" applyAlignment="1">
      <alignment horizontal="center"/>
    </xf>
    <xf numFmtId="0" fontId="16" fillId="0" borderId="26" xfId="0" applyFont="1" applyFill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8" fillId="0" borderId="26" xfId="0" applyFont="1" applyBorder="1" applyAlignment="1">
      <alignment horizontal="justify" vertical="justify" wrapText="1"/>
    </xf>
    <xf numFmtId="43" fontId="19" fillId="2" borderId="26" xfId="1" applyFont="1" applyFill="1" applyBorder="1" applyAlignment="1">
      <alignment horizontal="left" vertical="center"/>
    </xf>
    <xf numFmtId="0" fontId="0" fillId="0" borderId="26" xfId="0" applyBorder="1"/>
    <xf numFmtId="43" fontId="0" fillId="0" borderId="26" xfId="0" applyNumberFormat="1" applyBorder="1"/>
    <xf numFmtId="165" fontId="15" fillId="6" borderId="26" xfId="0" applyNumberFormat="1" applyFont="1" applyFill="1" applyBorder="1"/>
    <xf numFmtId="0" fontId="0" fillId="7" borderId="26" xfId="0" applyFill="1" applyBorder="1"/>
    <xf numFmtId="43" fontId="14" fillId="7" borderId="26" xfId="0" applyNumberFormat="1" applyFont="1" applyFill="1" applyBorder="1"/>
    <xf numFmtId="0" fontId="0" fillId="0" borderId="82" xfId="0" applyBorder="1"/>
    <xf numFmtId="0" fontId="6" fillId="2" borderId="82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 wrapText="1"/>
    </xf>
    <xf numFmtId="0" fontId="2" fillId="2" borderId="99" xfId="0" applyFont="1" applyFill="1" applyBorder="1" applyAlignment="1">
      <alignment horizontal="left" vertical="center" wrapText="1"/>
    </xf>
    <xf numFmtId="0" fontId="2" fillId="2" borderId="100" xfId="0" applyFont="1" applyFill="1" applyBorder="1" applyAlignment="1">
      <alignment horizontal="left" vertical="center" wrapText="1"/>
    </xf>
    <xf numFmtId="0" fontId="2" fillId="2" borderId="82" xfId="0" applyFont="1" applyFill="1" applyBorder="1" applyAlignment="1">
      <alignment horizontal="left" vertical="center" wrapText="1"/>
    </xf>
    <xf numFmtId="10" fontId="6" fillId="2" borderId="98" xfId="3" applyNumberFormat="1" applyFont="1" applyFill="1" applyBorder="1" applyAlignment="1">
      <alignment horizontal="left" vertical="center" wrapText="1"/>
    </xf>
    <xf numFmtId="44" fontId="6" fillId="2" borderId="82" xfId="2" applyFont="1" applyFill="1" applyBorder="1" applyAlignment="1">
      <alignment horizontal="left" vertical="center" wrapText="1"/>
    </xf>
    <xf numFmtId="0" fontId="0" fillId="0" borderId="101" xfId="0" applyFill="1" applyBorder="1"/>
    <xf numFmtId="0" fontId="0" fillId="0" borderId="82" xfId="0" applyFill="1" applyBorder="1"/>
    <xf numFmtId="9" fontId="6" fillId="2" borderId="98" xfId="0" applyNumberFormat="1" applyFont="1" applyFill="1" applyBorder="1" applyAlignment="1">
      <alignment horizontal="left" vertical="center" wrapText="1"/>
    </xf>
    <xf numFmtId="0" fontId="2" fillId="2" borderId="82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1" fontId="2" fillId="2" borderId="82" xfId="1" applyNumberFormat="1" applyFont="1" applyFill="1" applyBorder="1" applyAlignment="1">
      <alignment horizontal="left" vertical="center"/>
    </xf>
    <xf numFmtId="43" fontId="10" fillId="3" borderId="82" xfId="1" applyFont="1" applyFill="1" applyBorder="1" applyAlignment="1" applyProtection="1">
      <alignment horizontal="left" vertical="center"/>
    </xf>
    <xf numFmtId="43" fontId="10" fillId="2" borderId="82" xfId="1" applyFont="1" applyFill="1" applyBorder="1" applyAlignment="1" applyProtection="1">
      <alignment horizontal="left" vertical="center"/>
    </xf>
    <xf numFmtId="8" fontId="6" fillId="2" borderId="14" xfId="2" applyNumberFormat="1" applyFont="1" applyFill="1" applyBorder="1" applyAlignment="1">
      <alignment horizontal="left" vertical="center" wrapText="1"/>
    </xf>
    <xf numFmtId="0" fontId="2" fillId="2" borderId="104" xfId="0" applyFont="1" applyFill="1" applyBorder="1" applyAlignment="1">
      <alignment horizontal="left" vertical="center"/>
    </xf>
    <xf numFmtId="0" fontId="2" fillId="2" borderId="105" xfId="0" applyFont="1" applyFill="1" applyBorder="1" applyAlignment="1">
      <alignment horizontal="left" vertical="center"/>
    </xf>
    <xf numFmtId="0" fontId="15" fillId="6" borderId="26" xfId="0" applyFont="1" applyFill="1" applyBorder="1" applyAlignment="1">
      <alignment horizontal="left" vertical="center"/>
    </xf>
    <xf numFmtId="0" fontId="15" fillId="0" borderId="26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/>
    </xf>
    <xf numFmtId="0" fontId="2" fillId="2" borderId="8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/>
    </xf>
    <xf numFmtId="14" fontId="6" fillId="2" borderId="6" xfId="0" applyNumberFormat="1" applyFont="1" applyFill="1" applyBorder="1" applyAlignment="1">
      <alignment horizontal="left" vertical="center"/>
    </xf>
    <xf numFmtId="14" fontId="6" fillId="2" borderId="7" xfId="0" applyNumberFormat="1" applyFont="1" applyFill="1" applyBorder="1" applyAlignment="1">
      <alignment horizontal="left" vertical="center"/>
    </xf>
    <xf numFmtId="0" fontId="6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8" fontId="6" fillId="3" borderId="5" xfId="0" applyNumberFormat="1" applyFont="1" applyFill="1" applyBorder="1" applyAlignment="1">
      <alignment horizontal="left" vertical="center"/>
    </xf>
    <xf numFmtId="8" fontId="6" fillId="3" borderId="6" xfId="0" applyNumberFormat="1" applyFont="1" applyFill="1" applyBorder="1" applyAlignment="1">
      <alignment horizontal="left" vertical="center"/>
    </xf>
    <xf numFmtId="8" fontId="6" fillId="3" borderId="7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98" xfId="0" applyFont="1" applyFill="1" applyBorder="1" applyAlignment="1">
      <alignment horizontal="left" vertical="center" wrapText="1"/>
    </xf>
    <xf numFmtId="0" fontId="2" fillId="2" borderId="99" xfId="0" applyFont="1" applyFill="1" applyBorder="1" applyAlignment="1">
      <alignment horizontal="left" vertical="center" wrapText="1"/>
    </xf>
    <xf numFmtId="0" fontId="2" fillId="2" borderId="10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0" fontId="6" fillId="3" borderId="0" xfId="0" applyNumberFormat="1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2" fillId="3" borderId="39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3" borderId="41" xfId="0" applyFont="1" applyFill="1" applyBorder="1" applyAlignment="1">
      <alignment horizontal="left" vertical="center" wrapText="1"/>
    </xf>
    <xf numFmtId="0" fontId="2" fillId="4" borderId="35" xfId="0" applyFont="1" applyFill="1" applyBorder="1" applyAlignment="1">
      <alignment horizontal="left" vertical="center"/>
    </xf>
    <xf numFmtId="0" fontId="2" fillId="4" borderId="39" xfId="0" applyFont="1" applyFill="1" applyBorder="1" applyAlignment="1">
      <alignment horizontal="left" vertical="center" wrapText="1"/>
    </xf>
    <xf numFmtId="0" fontId="2" fillId="4" borderId="40" xfId="0" applyFont="1" applyFill="1" applyBorder="1" applyAlignment="1">
      <alignment horizontal="left" vertical="center" wrapText="1"/>
    </xf>
    <xf numFmtId="0" fontId="2" fillId="4" borderId="41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left" vertical="center" wrapText="1"/>
    </xf>
    <xf numFmtId="0" fontId="2" fillId="3" borderId="36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left" vertical="center" wrapText="1"/>
    </xf>
    <xf numFmtId="3" fontId="6" fillId="3" borderId="43" xfId="0" applyNumberFormat="1" applyFont="1" applyFill="1" applyBorder="1" applyAlignment="1">
      <alignment horizontal="left" vertical="center"/>
    </xf>
    <xf numFmtId="3" fontId="6" fillId="3" borderId="44" xfId="0" applyNumberFormat="1" applyFont="1" applyFill="1" applyBorder="1" applyAlignment="1">
      <alignment horizontal="left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54" xfId="0" applyFont="1" applyFill="1" applyBorder="1" applyAlignment="1">
      <alignment horizontal="left" vertical="center"/>
    </xf>
    <xf numFmtId="0" fontId="2" fillId="3" borderId="55" xfId="0" applyFont="1" applyFill="1" applyBorder="1" applyAlignment="1">
      <alignment horizontal="left" vertical="center"/>
    </xf>
    <xf numFmtId="0" fontId="2" fillId="3" borderId="57" xfId="0" applyFont="1" applyFill="1" applyBorder="1" applyAlignment="1">
      <alignment horizontal="left" vertical="center"/>
    </xf>
    <xf numFmtId="0" fontId="2" fillId="3" borderId="58" xfId="0" applyFont="1" applyFill="1" applyBorder="1" applyAlignment="1">
      <alignment horizontal="left" vertical="center"/>
    </xf>
    <xf numFmtId="0" fontId="6" fillId="3" borderId="46" xfId="0" applyFont="1" applyFill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/>
    </xf>
    <xf numFmtId="3" fontId="2" fillId="4" borderId="49" xfId="0" applyNumberFormat="1" applyFont="1" applyFill="1" applyBorder="1" applyAlignment="1">
      <alignment horizontal="left" vertical="center"/>
    </xf>
    <xf numFmtId="3" fontId="2" fillId="4" borderId="50" xfId="0" applyNumberFormat="1" applyFont="1" applyFill="1" applyBorder="1" applyAlignment="1">
      <alignment horizontal="left" vertical="center"/>
    </xf>
    <xf numFmtId="3" fontId="6" fillId="3" borderId="55" xfId="0" applyNumberFormat="1" applyFont="1" applyFill="1" applyBorder="1" applyAlignment="1">
      <alignment horizontal="left" vertical="center"/>
    </xf>
    <xf numFmtId="3" fontId="6" fillId="3" borderId="56" xfId="0" applyNumberFormat="1" applyFont="1" applyFill="1" applyBorder="1" applyAlignment="1">
      <alignment horizontal="left" vertical="center"/>
    </xf>
    <xf numFmtId="0" fontId="6" fillId="3" borderId="62" xfId="0" applyFont="1" applyFill="1" applyBorder="1" applyAlignment="1">
      <alignment horizontal="left" vertical="center"/>
    </xf>
    <xf numFmtId="0" fontId="6" fillId="3" borderId="63" xfId="0" applyFont="1" applyFill="1" applyBorder="1" applyAlignment="1">
      <alignment horizontal="left" vertical="center"/>
    </xf>
    <xf numFmtId="0" fontId="6" fillId="3" borderId="64" xfId="0" applyFont="1" applyFill="1" applyBorder="1" applyAlignment="1">
      <alignment horizontal="left" vertical="center"/>
    </xf>
    <xf numFmtId="0" fontId="6" fillId="3" borderId="66" xfId="0" applyFont="1" applyFill="1" applyBorder="1" applyAlignment="1">
      <alignment horizontal="left" vertical="center"/>
    </xf>
    <xf numFmtId="0" fontId="6" fillId="3" borderId="6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2" fillId="3" borderId="71" xfId="0" applyFont="1" applyFill="1" applyBorder="1" applyAlignment="1">
      <alignment horizontal="left" vertical="center"/>
    </xf>
    <xf numFmtId="0" fontId="2" fillId="3" borderId="72" xfId="0" applyFont="1" applyFill="1" applyBorder="1" applyAlignment="1">
      <alignment horizontal="left" vertical="center"/>
    </xf>
    <xf numFmtId="0" fontId="2" fillId="3" borderId="73" xfId="0" applyFont="1" applyFill="1" applyBorder="1" applyAlignment="1">
      <alignment horizontal="left" vertical="center"/>
    </xf>
    <xf numFmtId="0" fontId="2" fillId="3" borderId="75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61" xfId="0" applyFont="1" applyFill="1" applyBorder="1" applyAlignment="1">
      <alignment horizontal="left" vertical="center"/>
    </xf>
    <xf numFmtId="0" fontId="2" fillId="2" borderId="93" xfId="0" applyFont="1" applyFill="1" applyBorder="1" applyAlignment="1">
      <alignment horizontal="left" vertical="center"/>
    </xf>
    <xf numFmtId="0" fontId="2" fillId="2" borderId="94" xfId="0" applyFont="1" applyFill="1" applyBorder="1" applyAlignment="1">
      <alignment horizontal="left" vertical="center"/>
    </xf>
    <xf numFmtId="0" fontId="2" fillId="2" borderId="95" xfId="0" applyFont="1" applyFill="1" applyBorder="1" applyAlignment="1">
      <alignment horizontal="left" vertical="center"/>
    </xf>
    <xf numFmtId="3" fontId="6" fillId="2" borderId="87" xfId="0" applyNumberFormat="1" applyFont="1" applyFill="1" applyBorder="1" applyAlignment="1">
      <alignment horizontal="left" vertical="center"/>
    </xf>
    <xf numFmtId="3" fontId="6" fillId="2" borderId="88" xfId="0" applyNumberFormat="1" applyFont="1" applyFill="1" applyBorder="1" applyAlignment="1">
      <alignment horizontal="left" vertical="center"/>
    </xf>
    <xf numFmtId="3" fontId="6" fillId="2" borderId="89" xfId="0" applyNumberFormat="1" applyFont="1" applyFill="1" applyBorder="1" applyAlignment="1">
      <alignment horizontal="left" vertical="center"/>
    </xf>
    <xf numFmtId="0" fontId="2" fillId="2" borderId="86" xfId="0" applyFont="1" applyFill="1" applyBorder="1" applyAlignment="1">
      <alignment horizontal="left" vertical="center"/>
    </xf>
    <xf numFmtId="0" fontId="2" fillId="2" borderId="87" xfId="0" applyFont="1" applyFill="1" applyBorder="1" applyAlignment="1">
      <alignment horizontal="left" vertical="center"/>
    </xf>
    <xf numFmtId="0" fontId="6" fillId="2" borderId="87" xfId="0" applyFont="1" applyFill="1" applyBorder="1" applyAlignment="1">
      <alignment horizontal="left" vertical="center"/>
    </xf>
    <xf numFmtId="0" fontId="6" fillId="2" borderId="88" xfId="0" applyFont="1" applyFill="1" applyBorder="1" applyAlignment="1">
      <alignment horizontal="left" vertical="center"/>
    </xf>
    <xf numFmtId="0" fontId="2" fillId="3" borderId="77" xfId="0" applyFont="1" applyFill="1" applyBorder="1" applyAlignment="1">
      <alignment horizontal="left" vertical="center"/>
    </xf>
    <xf numFmtId="0" fontId="2" fillId="3" borderId="78" xfId="0" applyFont="1" applyFill="1" applyBorder="1" applyAlignment="1">
      <alignment horizontal="left" vertical="center"/>
    </xf>
    <xf numFmtId="0" fontId="6" fillId="3" borderId="77" xfId="0" applyFont="1" applyFill="1" applyBorder="1" applyAlignment="1">
      <alignment horizontal="left" vertical="center"/>
    </xf>
    <xf numFmtId="0" fontId="6" fillId="3" borderId="79" xfId="0" applyFont="1" applyFill="1" applyBorder="1" applyAlignment="1">
      <alignment horizontal="left" vertical="center"/>
    </xf>
    <xf numFmtId="0" fontId="6" fillId="3" borderId="81" xfId="0" applyFont="1" applyFill="1" applyBorder="1" applyAlignment="1">
      <alignment horizontal="left" vertical="center"/>
    </xf>
    <xf numFmtId="0" fontId="6" fillId="3" borderId="83" xfId="0" applyFont="1" applyFill="1" applyBorder="1" applyAlignment="1">
      <alignment horizontal="left" vertical="center"/>
    </xf>
    <xf numFmtId="0" fontId="6" fillId="3" borderId="84" xfId="0" applyFont="1" applyFill="1" applyBorder="1" applyAlignment="1">
      <alignment horizontal="left" vertical="center"/>
    </xf>
    <xf numFmtId="0" fontId="2" fillId="3" borderId="85" xfId="0" applyFont="1" applyFill="1" applyBorder="1" applyAlignment="1">
      <alignment horizontal="left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0</xdr:row>
          <xdr:rowOff>0</xdr:rowOff>
        </xdr:from>
        <xdr:to>
          <xdr:col>1</xdr:col>
          <xdr:colOff>885825</xdr:colOff>
          <xdr:row>4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0</xdr:row>
          <xdr:rowOff>0</xdr:rowOff>
        </xdr:from>
        <xdr:to>
          <xdr:col>1</xdr:col>
          <xdr:colOff>885825</xdr:colOff>
          <xdr:row>4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D5" sqref="D5"/>
    </sheetView>
  </sheetViews>
  <sheetFormatPr defaultRowHeight="15"/>
  <cols>
    <col min="2" max="2" width="42.42578125" customWidth="1"/>
    <col min="3" max="3" width="24.85546875" customWidth="1"/>
    <col min="5" max="5" width="12.28515625" customWidth="1"/>
  </cols>
  <sheetData>
    <row r="1" spans="1:5" ht="15.75" customHeight="1" thickBot="1">
      <c r="A1" s="217" t="s">
        <v>170</v>
      </c>
      <c r="B1" s="217"/>
      <c r="C1" s="217"/>
      <c r="D1" s="217"/>
      <c r="E1" s="217"/>
    </row>
    <row r="2" spans="1:5" ht="15.75" customHeight="1" thickBot="1">
      <c r="A2" s="218" t="s">
        <v>2</v>
      </c>
      <c r="B2" s="218"/>
      <c r="C2" s="218"/>
      <c r="D2" s="218"/>
      <c r="E2" s="218"/>
    </row>
    <row r="3" spans="1:5" ht="16.5" thickBot="1">
      <c r="A3" s="186" t="s">
        <v>171</v>
      </c>
      <c r="B3" s="186" t="s">
        <v>174</v>
      </c>
      <c r="C3" s="186" t="s">
        <v>172</v>
      </c>
      <c r="D3" s="187" t="s">
        <v>25</v>
      </c>
      <c r="E3" s="187" t="s">
        <v>175</v>
      </c>
    </row>
    <row r="4" spans="1:5" ht="16.5" thickBot="1">
      <c r="A4" s="188">
        <v>1</v>
      </c>
      <c r="B4" s="189" t="s">
        <v>198</v>
      </c>
      <c r="C4" s="190">
        <f>'Oper áudio'!$I$139</f>
        <v>4953.9360089771453</v>
      </c>
      <c r="D4" s="191">
        <v>2</v>
      </c>
      <c r="E4" s="192">
        <f>C4*D4+0.01</f>
        <v>9907.8820179542909</v>
      </c>
    </row>
    <row r="5" spans="1:5" ht="16.5" thickBot="1">
      <c r="A5" s="188">
        <v>2</v>
      </c>
      <c r="B5" s="189" t="s">
        <v>177</v>
      </c>
      <c r="C5" s="190">
        <f>'Operador Chefe'!$I$140</f>
        <v>6323.112770615242</v>
      </c>
      <c r="D5" s="191">
        <v>1</v>
      </c>
      <c r="E5" s="192">
        <f>C5*D5</f>
        <v>6323.112770615242</v>
      </c>
    </row>
    <row r="6" spans="1:5" ht="16.5" thickBot="1">
      <c r="A6" s="216" t="s">
        <v>173</v>
      </c>
      <c r="B6" s="216"/>
      <c r="C6" s="193">
        <f>SUM(C4:C5)</f>
        <v>11277.048779592387</v>
      </c>
      <c r="D6" s="194">
        <f>SUM(D4:D5)</f>
        <v>3</v>
      </c>
      <c r="E6" s="195">
        <f>SUM(E4:E5)</f>
        <v>16230.994788569533</v>
      </c>
    </row>
  </sheetData>
  <mergeCells count="3">
    <mergeCell ref="A6:B6"/>
    <mergeCell ref="A1:E1"/>
    <mergeCell ref="A2:E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40"/>
  <sheetViews>
    <sheetView topLeftCell="A40" workbookViewId="0">
      <selection activeCell="A7" sqref="A7:D7"/>
    </sheetView>
  </sheetViews>
  <sheetFormatPr defaultRowHeight="15"/>
  <cols>
    <col min="1" max="1" width="5.7109375" customWidth="1"/>
    <col min="2" max="2" width="13.5703125" customWidth="1"/>
    <col min="3" max="3" width="15.28515625" customWidth="1"/>
    <col min="4" max="4" width="10.5703125" customWidth="1"/>
    <col min="5" max="5" width="14.28515625" customWidth="1"/>
    <col min="6" max="6" width="14" customWidth="1"/>
    <col min="7" max="7" width="17.140625" customWidth="1"/>
    <col min="8" max="8" width="17.7109375" customWidth="1"/>
    <col min="9" max="9" width="18.85546875" customWidth="1"/>
    <col min="10" max="10" width="19.5703125" customWidth="1"/>
  </cols>
  <sheetData>
    <row r="1" spans="1:10" ht="15.75">
      <c r="A1" s="1"/>
      <c r="B1" s="1"/>
      <c r="C1" s="2" t="s">
        <v>0</v>
      </c>
      <c r="D1" s="2"/>
      <c r="E1" s="2"/>
      <c r="F1" s="1"/>
      <c r="G1" s="1"/>
      <c r="H1" s="2"/>
      <c r="I1" s="2"/>
    </row>
    <row r="2" spans="1:10">
      <c r="A2" s="1"/>
      <c r="B2" s="1"/>
      <c r="C2" s="3" t="s">
        <v>1</v>
      </c>
      <c r="D2" s="3"/>
      <c r="E2" s="3"/>
      <c r="F2" s="1"/>
      <c r="G2" s="1"/>
      <c r="H2" s="3"/>
      <c r="I2" s="3"/>
    </row>
    <row r="3" spans="1:10">
      <c r="A3" s="1"/>
      <c r="B3" s="1"/>
      <c r="C3" s="4" t="s">
        <v>2</v>
      </c>
      <c r="D3" s="4"/>
      <c r="E3" s="4"/>
      <c r="F3" s="1"/>
      <c r="G3" s="1"/>
      <c r="H3" s="4"/>
      <c r="I3" s="4"/>
    </row>
    <row r="4" spans="1:10">
      <c r="A4" s="224"/>
      <c r="B4" s="224"/>
      <c r="C4" s="224"/>
      <c r="D4" s="224"/>
      <c r="E4" s="224"/>
      <c r="F4" s="224"/>
      <c r="G4" s="224"/>
      <c r="H4" s="224"/>
      <c r="I4" s="224"/>
    </row>
    <row r="5" spans="1:10">
      <c r="A5" s="225" t="s">
        <v>3</v>
      </c>
      <c r="B5" s="225"/>
      <c r="C5" s="225"/>
      <c r="D5" s="225"/>
      <c r="E5" s="225"/>
      <c r="F5" s="225"/>
      <c r="G5" s="225"/>
      <c r="H5" s="225"/>
      <c r="I5" s="225"/>
    </row>
    <row r="6" spans="1:10">
      <c r="A6" s="226" t="s">
        <v>251</v>
      </c>
      <c r="B6" s="226"/>
      <c r="C6" s="226"/>
      <c r="D6" s="226"/>
      <c r="E6" s="226"/>
      <c r="F6" s="226"/>
      <c r="G6" s="226"/>
      <c r="H6" s="227"/>
      <c r="I6" s="227"/>
    </row>
    <row r="7" spans="1:10">
      <c r="A7" s="223" t="s">
        <v>4</v>
      </c>
      <c r="B7" s="223"/>
      <c r="C7" s="223"/>
      <c r="D7" s="223"/>
      <c r="E7" s="5" t="s">
        <v>5</v>
      </c>
      <c r="F7" s="6"/>
      <c r="G7" s="6"/>
      <c r="H7" s="7"/>
      <c r="I7" s="8"/>
      <c r="J7" s="9"/>
    </row>
    <row r="8" spans="1:10">
      <c r="A8" s="223" t="s">
        <v>6</v>
      </c>
      <c r="B8" s="223"/>
      <c r="C8" s="223"/>
      <c r="D8" s="223"/>
      <c r="E8" s="10" t="s">
        <v>5</v>
      </c>
      <c r="F8" s="11"/>
      <c r="G8" s="11"/>
      <c r="H8" s="228"/>
      <c r="I8" s="229"/>
      <c r="J8" s="230"/>
    </row>
    <row r="9" spans="1:10">
      <c r="A9" s="219" t="s">
        <v>7</v>
      </c>
      <c r="B9" s="219"/>
      <c r="C9" s="219"/>
      <c r="D9" s="219"/>
      <c r="E9" s="220"/>
      <c r="F9" s="220"/>
      <c r="G9" s="220"/>
      <c r="H9" s="221"/>
      <c r="I9" s="221"/>
    </row>
    <row r="10" spans="1:10">
      <c r="A10" s="222"/>
      <c r="B10" s="222"/>
      <c r="C10" s="222"/>
      <c r="D10" s="222"/>
      <c r="E10" s="222"/>
      <c r="F10" s="222"/>
      <c r="G10" s="222"/>
      <c r="H10" s="222"/>
      <c r="I10" s="222"/>
    </row>
    <row r="11" spans="1:10">
      <c r="A11" s="183" t="s">
        <v>8</v>
      </c>
      <c r="B11" s="223" t="s">
        <v>9</v>
      </c>
      <c r="C11" s="223"/>
      <c r="D11" s="223"/>
      <c r="E11" s="223"/>
      <c r="F11" s="223"/>
      <c r="G11" s="223"/>
      <c r="H11" s="13"/>
      <c r="I11" s="14"/>
      <c r="J11" s="15"/>
    </row>
    <row r="12" spans="1:10">
      <c r="A12" s="183" t="s">
        <v>10</v>
      </c>
      <c r="B12" s="223" t="s">
        <v>11</v>
      </c>
      <c r="C12" s="223"/>
      <c r="D12" s="223"/>
      <c r="E12" s="223"/>
      <c r="F12" s="223"/>
      <c r="G12" s="223"/>
      <c r="H12" s="5"/>
      <c r="I12" s="6"/>
      <c r="J12" s="16"/>
    </row>
    <row r="13" spans="1:10">
      <c r="A13" s="183" t="s">
        <v>12</v>
      </c>
      <c r="B13" s="223" t="s">
        <v>13</v>
      </c>
      <c r="C13" s="223"/>
      <c r="D13" s="223"/>
      <c r="E13" s="223"/>
      <c r="F13" s="223"/>
      <c r="G13" s="223"/>
      <c r="H13" s="5" t="s">
        <v>162</v>
      </c>
      <c r="I13" s="6"/>
      <c r="J13" s="16"/>
    </row>
    <row r="14" spans="1:10">
      <c r="A14" s="183" t="s">
        <v>14</v>
      </c>
      <c r="B14" s="223" t="s">
        <v>15</v>
      </c>
      <c r="C14" s="223"/>
      <c r="D14" s="223"/>
      <c r="E14" s="223"/>
      <c r="F14" s="223"/>
      <c r="G14" s="223"/>
      <c r="H14" s="17">
        <v>12</v>
      </c>
      <c r="I14" s="6"/>
      <c r="J14" s="16"/>
    </row>
    <row r="15" spans="1:10">
      <c r="A15" s="185"/>
      <c r="B15" s="185"/>
      <c r="C15" s="185"/>
      <c r="D15" s="185"/>
      <c r="E15" s="185"/>
      <c r="F15" s="185"/>
      <c r="G15" s="185"/>
      <c r="H15" s="19"/>
      <c r="I15" s="19"/>
    </row>
    <row r="16" spans="1:10">
      <c r="A16" s="224" t="s">
        <v>16</v>
      </c>
      <c r="B16" s="224"/>
      <c r="C16" s="224"/>
      <c r="D16" s="224"/>
      <c r="E16" s="224"/>
      <c r="F16" s="224"/>
      <c r="G16" s="224"/>
      <c r="H16" s="224"/>
      <c r="I16" s="224"/>
    </row>
    <row r="17" spans="1:10">
      <c r="A17" s="161"/>
      <c r="B17" s="161"/>
      <c r="C17" s="161"/>
      <c r="D17" s="161"/>
      <c r="E17" s="161"/>
      <c r="F17" s="161"/>
      <c r="G17" s="161"/>
      <c r="H17" s="161"/>
      <c r="I17" s="161"/>
    </row>
    <row r="18" spans="1:10">
      <c r="A18" s="241" t="s">
        <v>17</v>
      </c>
      <c r="B18" s="242"/>
      <c r="C18" s="242"/>
      <c r="D18" s="242"/>
      <c r="E18" s="242"/>
      <c r="F18" s="242"/>
      <c r="G18" s="242"/>
      <c r="H18" s="242"/>
      <c r="I18" s="242"/>
      <c r="J18" s="243"/>
    </row>
    <row r="19" spans="1:10">
      <c r="A19" s="21">
        <v>1</v>
      </c>
      <c r="B19" s="244" t="s">
        <v>18</v>
      </c>
      <c r="C19" s="245"/>
      <c r="D19" s="245"/>
      <c r="E19" s="245"/>
      <c r="F19" s="245"/>
      <c r="G19" s="246"/>
      <c r="H19" s="184" t="s">
        <v>243</v>
      </c>
      <c r="I19" s="23"/>
      <c r="J19" s="24"/>
    </row>
    <row r="20" spans="1:10">
      <c r="A20" s="177">
        <v>2</v>
      </c>
      <c r="B20" s="231" t="s">
        <v>19</v>
      </c>
      <c r="C20" s="232"/>
      <c r="D20" s="232"/>
      <c r="E20" s="232"/>
      <c r="F20" s="232"/>
      <c r="G20" s="233"/>
      <c r="H20" s="247">
        <v>1192.6199999999999</v>
      </c>
      <c r="I20" s="248"/>
      <c r="J20" s="249"/>
    </row>
    <row r="21" spans="1:10">
      <c r="A21" s="177">
        <v>3</v>
      </c>
      <c r="B21" s="231" t="s">
        <v>20</v>
      </c>
      <c r="C21" s="232"/>
      <c r="D21" s="232"/>
      <c r="E21" s="232"/>
      <c r="F21" s="232"/>
      <c r="G21" s="233"/>
      <c r="H21" s="234" t="s">
        <v>199</v>
      </c>
      <c r="I21" s="235"/>
      <c r="J21" s="236"/>
    </row>
    <row r="22" spans="1:10">
      <c r="A22" s="177">
        <v>4</v>
      </c>
      <c r="B22" s="179" t="s">
        <v>21</v>
      </c>
      <c r="C22" s="181"/>
      <c r="D22" s="181"/>
      <c r="E22" s="181"/>
      <c r="F22" s="181"/>
      <c r="G22" s="182"/>
      <c r="H22" s="237">
        <v>1</v>
      </c>
      <c r="I22" s="235"/>
      <c r="J22" s="236"/>
    </row>
    <row r="23" spans="1:10">
      <c r="A23" s="177">
        <v>5</v>
      </c>
      <c r="B23" s="231" t="s">
        <v>22</v>
      </c>
      <c r="C23" s="232"/>
      <c r="D23" s="232"/>
      <c r="E23" s="232"/>
      <c r="F23" s="232"/>
      <c r="G23" s="233"/>
      <c r="H23" s="238">
        <v>42125</v>
      </c>
      <c r="I23" s="239"/>
      <c r="J23" s="240"/>
    </row>
    <row r="24" spans="1:10">
      <c r="A24" s="19"/>
      <c r="B24" s="19"/>
      <c r="C24" s="19"/>
      <c r="D24" s="19"/>
      <c r="E24" s="19"/>
      <c r="F24" s="19"/>
      <c r="G24" s="19"/>
      <c r="H24" s="19"/>
      <c r="I24" s="19"/>
    </row>
    <row r="25" spans="1:10">
      <c r="A25" s="224" t="s">
        <v>23</v>
      </c>
      <c r="B25" s="224"/>
      <c r="C25" s="224"/>
      <c r="D25" s="224"/>
      <c r="E25" s="224"/>
      <c r="F25" s="224"/>
      <c r="G25" s="224"/>
      <c r="H25" s="224"/>
      <c r="I25" s="224"/>
    </row>
    <row r="26" spans="1:10" ht="30">
      <c r="A26" s="29">
        <v>1</v>
      </c>
      <c r="B26" s="255" t="s">
        <v>24</v>
      </c>
      <c r="C26" s="256"/>
      <c r="D26" s="256"/>
      <c r="E26" s="256"/>
      <c r="F26" s="257"/>
      <c r="G26" s="30" t="s">
        <v>25</v>
      </c>
      <c r="H26" s="31" t="s">
        <v>26</v>
      </c>
      <c r="I26" s="32" t="s">
        <v>27</v>
      </c>
      <c r="J26" s="33" t="s">
        <v>28</v>
      </c>
    </row>
    <row r="27" spans="1:10" ht="30">
      <c r="A27" s="29" t="s">
        <v>8</v>
      </c>
      <c r="B27" s="255" t="s">
        <v>29</v>
      </c>
      <c r="C27" s="256"/>
      <c r="D27" s="256"/>
      <c r="E27" s="256"/>
      <c r="F27" s="257"/>
      <c r="G27" s="30">
        <v>1</v>
      </c>
      <c r="H27" s="34">
        <f>(1192.62*30%)+1192.62</f>
        <v>1550.4059999999999</v>
      </c>
      <c r="I27" s="213">
        <f>H27</f>
        <v>1550.4059999999999</v>
      </c>
      <c r="J27" s="33" t="s">
        <v>245</v>
      </c>
    </row>
    <row r="28" spans="1:10" ht="30" customHeight="1">
      <c r="A28" s="197"/>
      <c r="B28" s="258" t="s">
        <v>200</v>
      </c>
      <c r="C28" s="259"/>
      <c r="D28" s="259"/>
      <c r="E28" s="259"/>
      <c r="F28" s="260"/>
      <c r="G28" s="201"/>
      <c r="H28" s="206">
        <v>0.4</v>
      </c>
      <c r="I28" s="203">
        <f>H28*I27</f>
        <v>620.16240000000005</v>
      </c>
      <c r="J28" s="143" t="s">
        <v>246</v>
      </c>
    </row>
    <row r="29" spans="1:10">
      <c r="A29" s="29" t="s">
        <v>10</v>
      </c>
      <c r="B29" s="255" t="s">
        <v>223</v>
      </c>
      <c r="C29" s="256"/>
      <c r="D29" s="256"/>
      <c r="E29" s="256"/>
      <c r="F29" s="257"/>
      <c r="G29" s="30">
        <v>1</v>
      </c>
      <c r="H29" s="36">
        <v>0.4</v>
      </c>
      <c r="I29" s="35">
        <f>I27*H29</f>
        <v>620.16240000000005</v>
      </c>
      <c r="J29" s="33" t="s">
        <v>224</v>
      </c>
    </row>
    <row r="30" spans="1:10" ht="120">
      <c r="A30" s="197"/>
      <c r="B30" s="198" t="s">
        <v>201</v>
      </c>
      <c r="C30" s="199"/>
      <c r="D30" s="199"/>
      <c r="E30" s="199"/>
      <c r="F30" s="200"/>
      <c r="G30" s="201"/>
      <c r="H30" s="202">
        <v>0</v>
      </c>
      <c r="I30" s="203"/>
      <c r="J30" s="143" t="s">
        <v>225</v>
      </c>
    </row>
    <row r="31" spans="1:10">
      <c r="A31" s="29" t="s">
        <v>30</v>
      </c>
      <c r="B31" s="255" t="s">
        <v>31</v>
      </c>
      <c r="C31" s="256"/>
      <c r="D31" s="256"/>
      <c r="E31" s="256"/>
      <c r="F31" s="257"/>
      <c r="G31" s="30"/>
      <c r="H31" s="37"/>
      <c r="I31" s="35">
        <f>SUM(I27:I29)</f>
        <v>2790.7308000000003</v>
      </c>
      <c r="J31" s="38"/>
    </row>
    <row r="32" spans="1:10">
      <c r="I32" s="39"/>
    </row>
    <row r="33" spans="1:10">
      <c r="A33" s="224" t="s">
        <v>32</v>
      </c>
      <c r="B33" s="224"/>
      <c r="C33" s="224"/>
      <c r="D33" s="224"/>
      <c r="E33" s="224"/>
      <c r="F33" s="224"/>
      <c r="G33" s="224"/>
      <c r="H33" s="224"/>
      <c r="I33" s="224"/>
    </row>
    <row r="34" spans="1:10">
      <c r="A34" s="161"/>
      <c r="B34" s="161"/>
      <c r="C34" s="161"/>
      <c r="D34" s="161"/>
      <c r="E34" s="161"/>
      <c r="F34" s="161"/>
      <c r="G34" s="161"/>
      <c r="H34" s="161"/>
      <c r="I34" s="161"/>
    </row>
    <row r="35" spans="1:10" ht="36.75">
      <c r="A35" s="29">
        <v>2</v>
      </c>
      <c r="B35" s="237" t="s">
        <v>33</v>
      </c>
      <c r="C35" s="252"/>
      <c r="D35" s="252"/>
      <c r="E35" s="252"/>
      <c r="F35" s="236"/>
      <c r="G35" s="29" t="s">
        <v>25</v>
      </c>
      <c r="H35" s="178" t="s">
        <v>34</v>
      </c>
      <c r="I35" s="178" t="s">
        <v>27</v>
      </c>
      <c r="J35" s="41" t="s">
        <v>35</v>
      </c>
    </row>
    <row r="36" spans="1:10" ht="60">
      <c r="A36" s="177" t="s">
        <v>8</v>
      </c>
      <c r="B36" s="231" t="s">
        <v>36</v>
      </c>
      <c r="C36" s="250"/>
      <c r="D36" s="250"/>
      <c r="E36" s="250"/>
      <c r="F36" s="251"/>
      <c r="G36" s="42">
        <v>44</v>
      </c>
      <c r="H36" s="43">
        <v>3.3</v>
      </c>
      <c r="I36" s="44">
        <f>G36*H36-(I27*6%)</f>
        <v>52.175640000000001</v>
      </c>
      <c r="J36" s="33" t="s">
        <v>37</v>
      </c>
    </row>
    <row r="37" spans="1:10">
      <c r="A37" s="177" t="s">
        <v>10</v>
      </c>
      <c r="B37" s="231" t="s">
        <v>220</v>
      </c>
      <c r="C37" s="250"/>
      <c r="D37" s="250"/>
      <c r="E37" s="250"/>
      <c r="F37" s="251"/>
      <c r="G37" s="45">
        <v>1</v>
      </c>
      <c r="H37" s="43">
        <v>3.68</v>
      </c>
      <c r="I37" s="44">
        <f t="shared" ref="I37" si="0">G37*H37</f>
        <v>3.68</v>
      </c>
      <c r="J37" s="46" t="s">
        <v>163</v>
      </c>
    </row>
    <row r="38" spans="1:10">
      <c r="A38" s="177"/>
      <c r="B38" s="237" t="s">
        <v>40</v>
      </c>
      <c r="C38" s="252"/>
      <c r="D38" s="252"/>
      <c r="E38" s="252"/>
      <c r="F38" s="252"/>
      <c r="G38" s="236"/>
      <c r="H38" s="43"/>
      <c r="I38" s="48">
        <f>SUM(I36:I37)</f>
        <v>55.855640000000001</v>
      </c>
      <c r="J38" s="33"/>
    </row>
    <row r="39" spans="1:10">
      <c r="A39" s="253" t="s">
        <v>41</v>
      </c>
      <c r="B39" s="254"/>
      <c r="C39" s="254"/>
      <c r="D39" s="254"/>
      <c r="E39" s="254"/>
      <c r="F39" s="254"/>
      <c r="G39" s="254"/>
      <c r="H39" s="254"/>
      <c r="I39" s="254"/>
    </row>
    <row r="40" spans="1:10">
      <c r="A40" s="161"/>
      <c r="B40" s="175"/>
      <c r="C40" s="175"/>
      <c r="D40" s="175"/>
      <c r="E40" s="175"/>
      <c r="F40" s="175"/>
      <c r="G40" s="175"/>
      <c r="H40" s="175"/>
      <c r="I40" s="175"/>
    </row>
    <row r="41" spans="1:10" ht="36.75">
      <c r="A41" s="29">
        <v>3</v>
      </c>
      <c r="B41" s="237" t="s">
        <v>42</v>
      </c>
      <c r="C41" s="252"/>
      <c r="D41" s="252"/>
      <c r="E41" s="252"/>
      <c r="F41" s="236"/>
      <c r="G41" s="29" t="s">
        <v>25</v>
      </c>
      <c r="H41" s="178" t="s">
        <v>34</v>
      </c>
      <c r="I41" s="164" t="s">
        <v>27</v>
      </c>
      <c r="J41" s="41" t="s">
        <v>43</v>
      </c>
    </row>
    <row r="42" spans="1:10" ht="45">
      <c r="A42" s="177" t="s">
        <v>8</v>
      </c>
      <c r="B42" s="231" t="s">
        <v>244</v>
      </c>
      <c r="C42" s="250"/>
      <c r="D42" s="250"/>
      <c r="E42" s="250"/>
      <c r="F42" s="251"/>
      <c r="G42" s="42">
        <v>1</v>
      </c>
      <c r="H42" s="51">
        <f>Insumos!$S$34</f>
        <v>87.825694444444451</v>
      </c>
      <c r="I42" s="52">
        <f>G42*H42-(I32*6%)</f>
        <v>87.825694444444451</v>
      </c>
      <c r="J42" s="33" t="s">
        <v>44</v>
      </c>
    </row>
    <row r="43" spans="1:10">
      <c r="A43" s="207" t="s">
        <v>10</v>
      </c>
      <c r="B43" s="214" t="s">
        <v>242</v>
      </c>
      <c r="C43" s="215"/>
      <c r="D43" s="215"/>
      <c r="E43" s="215"/>
      <c r="F43" s="215"/>
      <c r="G43" s="210"/>
      <c r="H43" s="211">
        <f>EPI!$M$4</f>
        <v>13.609999999999998</v>
      </c>
      <c r="I43" s="212">
        <f>EPI!$M$4</f>
        <v>13.609999999999998</v>
      </c>
      <c r="J43" s="143"/>
    </row>
    <row r="44" spans="1:10" ht="285">
      <c r="A44" s="177" t="s">
        <v>12</v>
      </c>
      <c r="B44" s="179" t="s">
        <v>45</v>
      </c>
      <c r="C44" s="180"/>
      <c r="D44" s="180"/>
      <c r="E44" s="180"/>
      <c r="F44" s="180"/>
      <c r="G44" s="42">
        <v>1</v>
      </c>
      <c r="H44" s="51">
        <v>21.19</v>
      </c>
      <c r="I44" s="52">
        <f>G44*H44</f>
        <v>21.19</v>
      </c>
      <c r="J44" s="33" t="s">
        <v>176</v>
      </c>
    </row>
    <row r="45" spans="1:10">
      <c r="A45" s="177"/>
      <c r="B45" s="263" t="s">
        <v>46</v>
      </c>
      <c r="C45" s="250"/>
      <c r="D45" s="250"/>
      <c r="E45" s="250"/>
      <c r="F45" s="250"/>
      <c r="G45" s="251"/>
      <c r="H45" s="43">
        <f>SUM(H42:H44)</f>
        <v>122.62569444444445</v>
      </c>
      <c r="I45" s="54">
        <f>SUM(I42:I44)</f>
        <v>122.62569444444445</v>
      </c>
      <c r="J45" s="38"/>
    </row>
    <row r="46" spans="1:10">
      <c r="A46" s="161"/>
      <c r="B46" s="161"/>
      <c r="C46" s="161"/>
      <c r="D46" s="161"/>
      <c r="E46" s="161"/>
      <c r="F46" s="161"/>
      <c r="G46" s="161"/>
      <c r="H46" s="161"/>
      <c r="I46" s="55"/>
    </row>
    <row r="47" spans="1:10">
      <c r="A47" s="224" t="s">
        <v>47</v>
      </c>
      <c r="B47" s="224"/>
      <c r="C47" s="224"/>
      <c r="D47" s="224"/>
      <c r="E47" s="224"/>
      <c r="F47" s="224"/>
      <c r="G47" s="224"/>
      <c r="H47" s="224"/>
      <c r="I47" s="224"/>
    </row>
    <row r="48" spans="1:10">
      <c r="A48" s="161"/>
      <c r="B48" s="161"/>
      <c r="C48" s="161"/>
      <c r="D48" s="161"/>
      <c r="E48" s="161"/>
      <c r="F48" s="161"/>
      <c r="G48" s="161"/>
      <c r="H48" s="161"/>
      <c r="I48" s="161"/>
    </row>
    <row r="49" spans="1:10">
      <c r="A49" s="224" t="s">
        <v>48</v>
      </c>
      <c r="B49" s="224"/>
      <c r="C49" s="224"/>
      <c r="D49" s="224"/>
      <c r="E49" s="224"/>
      <c r="F49" s="224"/>
      <c r="G49" s="224"/>
      <c r="H49" s="224"/>
      <c r="I49" s="224"/>
    </row>
    <row r="50" spans="1:10">
      <c r="A50" s="176"/>
      <c r="B50" s="176"/>
      <c r="C50" s="176"/>
      <c r="D50" s="176"/>
      <c r="E50" s="176"/>
      <c r="F50" s="176"/>
      <c r="G50" s="176"/>
      <c r="H50" s="176"/>
      <c r="I50" s="176"/>
    </row>
    <row r="51" spans="1:10" ht="36.75">
      <c r="A51" s="57" t="s">
        <v>49</v>
      </c>
      <c r="B51" s="264" t="s">
        <v>50</v>
      </c>
      <c r="C51" s="265"/>
      <c r="D51" s="265"/>
      <c r="E51" s="265"/>
      <c r="F51" s="265"/>
      <c r="G51" s="266"/>
      <c r="H51" s="58" t="s">
        <v>51</v>
      </c>
      <c r="I51" s="59" t="s">
        <v>27</v>
      </c>
      <c r="J51" s="41" t="s">
        <v>52</v>
      </c>
    </row>
    <row r="52" spans="1:10">
      <c r="A52" s="177" t="s">
        <v>8</v>
      </c>
      <c r="B52" s="261" t="s">
        <v>53</v>
      </c>
      <c r="C52" s="261"/>
      <c r="D52" s="261"/>
      <c r="E52" s="261"/>
      <c r="F52" s="261"/>
      <c r="G52" s="261"/>
      <c r="H52" s="60">
        <v>0.2</v>
      </c>
      <c r="I52" s="61">
        <f>$I$31*H52</f>
        <v>558.14616000000012</v>
      </c>
      <c r="J52" s="62" t="s">
        <v>54</v>
      </c>
    </row>
    <row r="53" spans="1:10" ht="30">
      <c r="A53" s="173" t="s">
        <v>10</v>
      </c>
      <c r="B53" s="262" t="s">
        <v>55</v>
      </c>
      <c r="C53" s="262"/>
      <c r="D53" s="262"/>
      <c r="E53" s="262"/>
      <c r="F53" s="262"/>
      <c r="G53" s="262"/>
      <c r="H53" s="60">
        <v>1.4999999999999999E-2</v>
      </c>
      <c r="I53" s="61">
        <f>$I$31*H53</f>
        <v>41.860962000000001</v>
      </c>
      <c r="J53" s="64" t="s">
        <v>56</v>
      </c>
    </row>
    <row r="54" spans="1:10" ht="30">
      <c r="A54" s="173" t="s">
        <v>12</v>
      </c>
      <c r="B54" s="262" t="s">
        <v>57</v>
      </c>
      <c r="C54" s="262"/>
      <c r="D54" s="262"/>
      <c r="E54" s="262"/>
      <c r="F54" s="262"/>
      <c r="G54" s="262"/>
      <c r="H54" s="60">
        <v>0.01</v>
      </c>
      <c r="I54" s="61">
        <f t="shared" ref="I54:I59" si="1">ROUND(H54*$I$31,2)</f>
        <v>27.91</v>
      </c>
      <c r="J54" s="62" t="s">
        <v>58</v>
      </c>
    </row>
    <row r="55" spans="1:10" ht="30">
      <c r="A55" s="173" t="s">
        <v>14</v>
      </c>
      <c r="B55" s="262" t="s">
        <v>59</v>
      </c>
      <c r="C55" s="262"/>
      <c r="D55" s="262"/>
      <c r="E55" s="262"/>
      <c r="F55" s="262"/>
      <c r="G55" s="262"/>
      <c r="H55" s="60">
        <v>2E-3</v>
      </c>
      <c r="I55" s="61">
        <f t="shared" si="1"/>
        <v>5.58</v>
      </c>
      <c r="J55" s="62" t="s">
        <v>60</v>
      </c>
    </row>
    <row r="56" spans="1:10" ht="30">
      <c r="A56" s="173" t="s">
        <v>38</v>
      </c>
      <c r="B56" s="262" t="s">
        <v>61</v>
      </c>
      <c r="C56" s="262"/>
      <c r="D56" s="262"/>
      <c r="E56" s="262"/>
      <c r="F56" s="262"/>
      <c r="G56" s="262"/>
      <c r="H56" s="60">
        <v>2.5000000000000001E-2</v>
      </c>
      <c r="I56" s="61">
        <f t="shared" si="1"/>
        <v>69.77</v>
      </c>
      <c r="J56" s="62" t="s">
        <v>62</v>
      </c>
    </row>
    <row r="57" spans="1:10" ht="30">
      <c r="A57" s="173" t="s">
        <v>39</v>
      </c>
      <c r="B57" s="262" t="s">
        <v>63</v>
      </c>
      <c r="C57" s="262"/>
      <c r="D57" s="262"/>
      <c r="E57" s="262"/>
      <c r="F57" s="262"/>
      <c r="G57" s="262"/>
      <c r="H57" s="60">
        <v>0.08</v>
      </c>
      <c r="I57" s="61">
        <f t="shared" si="1"/>
        <v>223.26</v>
      </c>
      <c r="J57" s="62" t="s">
        <v>64</v>
      </c>
    </row>
    <row r="58" spans="1:10" ht="30">
      <c r="A58" s="173" t="s">
        <v>65</v>
      </c>
      <c r="B58" s="262" t="s">
        <v>66</v>
      </c>
      <c r="C58" s="262"/>
      <c r="D58" s="262"/>
      <c r="E58" s="262"/>
      <c r="F58" s="262"/>
      <c r="G58" s="262"/>
      <c r="H58" s="60">
        <v>0.03</v>
      </c>
      <c r="I58" s="61">
        <f t="shared" si="1"/>
        <v>83.72</v>
      </c>
      <c r="J58" s="62" t="s">
        <v>67</v>
      </c>
    </row>
    <row r="59" spans="1:10" ht="15.75" thickBot="1">
      <c r="A59" s="174" t="s">
        <v>30</v>
      </c>
      <c r="B59" s="279" t="s">
        <v>68</v>
      </c>
      <c r="C59" s="279"/>
      <c r="D59" s="279"/>
      <c r="E59" s="279"/>
      <c r="F59" s="279"/>
      <c r="G59" s="279"/>
      <c r="H59" s="66">
        <v>6.0000000000000001E-3</v>
      </c>
      <c r="I59" s="67">
        <f t="shared" si="1"/>
        <v>16.739999999999998</v>
      </c>
      <c r="J59" s="68" t="s">
        <v>69</v>
      </c>
    </row>
    <row r="60" spans="1:10" ht="15.75" thickBot="1">
      <c r="A60" s="280" t="s">
        <v>70</v>
      </c>
      <c r="B60" s="281"/>
      <c r="C60" s="281"/>
      <c r="D60" s="281"/>
      <c r="E60" s="281"/>
      <c r="F60" s="281"/>
      <c r="G60" s="282"/>
      <c r="H60" s="69">
        <f>SUM(H52:H59)</f>
        <v>0.3680000000000001</v>
      </c>
      <c r="I60" s="70">
        <f>SUM(I52:I59)</f>
        <v>1026.987122</v>
      </c>
      <c r="J60" s="68"/>
    </row>
    <row r="61" spans="1:10">
      <c r="A61" s="224" t="s">
        <v>71</v>
      </c>
      <c r="B61" s="283"/>
      <c r="C61" s="283"/>
      <c r="D61" s="283"/>
      <c r="E61" s="283"/>
      <c r="F61" s="283"/>
      <c r="G61" s="283"/>
      <c r="H61" s="283"/>
      <c r="I61" s="283"/>
    </row>
    <row r="62" spans="1:10">
      <c r="A62" s="224" t="s">
        <v>72</v>
      </c>
      <c r="B62" s="283"/>
      <c r="C62" s="283"/>
      <c r="D62" s="283"/>
      <c r="E62" s="283"/>
      <c r="F62" s="283"/>
      <c r="G62" s="283"/>
      <c r="H62" s="283"/>
      <c r="I62" s="283"/>
    </row>
    <row r="64" spans="1:10">
      <c r="A64" s="224" t="s">
        <v>73</v>
      </c>
      <c r="B64" s="224"/>
      <c r="C64" s="224"/>
      <c r="D64" s="224"/>
      <c r="E64" s="224"/>
      <c r="F64" s="224"/>
      <c r="G64" s="224"/>
      <c r="H64" s="224"/>
      <c r="I64" s="224"/>
    </row>
    <row r="65" spans="1:10">
      <c r="A65" s="176"/>
      <c r="B65" s="176"/>
      <c r="C65" s="176"/>
      <c r="D65" s="176"/>
      <c r="E65" s="176"/>
      <c r="F65" s="176"/>
      <c r="G65" s="176"/>
      <c r="H65" s="176"/>
      <c r="I65" s="176"/>
    </row>
    <row r="66" spans="1:10" ht="36.75">
      <c r="A66" s="71" t="s">
        <v>74</v>
      </c>
      <c r="B66" s="267" t="s">
        <v>75</v>
      </c>
      <c r="C66" s="268"/>
      <c r="D66" s="268"/>
      <c r="E66" s="268"/>
      <c r="F66" s="268"/>
      <c r="G66" s="268"/>
      <c r="H66" s="72" t="s">
        <v>51</v>
      </c>
      <c r="I66" s="171" t="s">
        <v>27</v>
      </c>
      <c r="J66" s="74" t="s">
        <v>76</v>
      </c>
    </row>
    <row r="67" spans="1:10" ht="115.5">
      <c r="A67" s="170" t="s">
        <v>8</v>
      </c>
      <c r="B67" s="269" t="s">
        <v>77</v>
      </c>
      <c r="C67" s="269"/>
      <c r="D67" s="269"/>
      <c r="E67" s="269"/>
      <c r="F67" s="269"/>
      <c r="G67" s="270"/>
      <c r="H67" s="76">
        <v>8.9300000000000004E-2</v>
      </c>
      <c r="I67" s="77">
        <f>ROUND(H67*$I$31,2)</f>
        <v>249.21</v>
      </c>
      <c r="J67" s="78" t="s">
        <v>78</v>
      </c>
    </row>
    <row r="68" spans="1:10">
      <c r="A68" s="271" t="s">
        <v>79</v>
      </c>
      <c r="B68" s="272"/>
      <c r="C68" s="272"/>
      <c r="D68" s="272"/>
      <c r="E68" s="272"/>
      <c r="F68" s="272"/>
      <c r="G68" s="272"/>
      <c r="H68" s="76">
        <f>SUM(H67:H67)</f>
        <v>8.9300000000000004E-2</v>
      </c>
      <c r="I68" s="77">
        <f>SUM(I67:I67)</f>
        <v>249.21</v>
      </c>
      <c r="J68" s="68"/>
    </row>
    <row r="69" spans="1:10" ht="15.75" thickBot="1">
      <c r="A69" s="172" t="s">
        <v>10</v>
      </c>
      <c r="B69" s="273" t="s">
        <v>80</v>
      </c>
      <c r="C69" s="273"/>
      <c r="D69" s="273"/>
      <c r="E69" s="273"/>
      <c r="F69" s="273"/>
      <c r="G69" s="274"/>
      <c r="H69" s="80">
        <f>ROUND(H60*H68,4)</f>
        <v>3.2899999999999999E-2</v>
      </c>
      <c r="I69" s="81">
        <f>ROUND(H69*$I$31,2)</f>
        <v>91.82</v>
      </c>
      <c r="J69" s="68" t="s">
        <v>81</v>
      </c>
    </row>
    <row r="70" spans="1:10" ht="15.75" thickBot="1">
      <c r="A70" s="275" t="s">
        <v>70</v>
      </c>
      <c r="B70" s="276"/>
      <c r="C70" s="276"/>
      <c r="D70" s="276"/>
      <c r="E70" s="276"/>
      <c r="F70" s="276"/>
      <c r="G70" s="277"/>
      <c r="H70" s="82">
        <f>H68+H69</f>
        <v>0.1222</v>
      </c>
      <c r="I70" s="83">
        <f>I69+I68</f>
        <v>341.03</v>
      </c>
      <c r="J70" s="33"/>
    </row>
    <row r="71" spans="1:10">
      <c r="A71" s="160"/>
      <c r="B71" s="160"/>
      <c r="C71" s="160"/>
      <c r="D71" s="160"/>
      <c r="E71" s="160"/>
      <c r="F71" s="160"/>
      <c r="G71" s="160"/>
      <c r="H71" s="163"/>
      <c r="I71" s="163"/>
    </row>
    <row r="72" spans="1:10">
      <c r="A72" s="278" t="s">
        <v>82</v>
      </c>
      <c r="B72" s="278"/>
      <c r="C72" s="278"/>
      <c r="D72" s="278"/>
      <c r="E72" s="278"/>
      <c r="F72" s="278"/>
      <c r="G72" s="278"/>
      <c r="H72" s="278"/>
      <c r="I72" s="278"/>
    </row>
    <row r="73" spans="1:10">
      <c r="A73" s="160"/>
      <c r="B73" s="160"/>
      <c r="C73" s="160"/>
      <c r="D73" s="160"/>
      <c r="E73" s="160"/>
      <c r="F73" s="160"/>
      <c r="G73" s="160"/>
      <c r="H73" s="163"/>
      <c r="I73" s="163"/>
    </row>
    <row r="74" spans="1:10" ht="36.75">
      <c r="A74" s="164" t="s">
        <v>83</v>
      </c>
      <c r="B74" s="294" t="s">
        <v>84</v>
      </c>
      <c r="C74" s="294"/>
      <c r="D74" s="294"/>
      <c r="E74" s="294"/>
      <c r="F74" s="294"/>
      <c r="G74" s="294"/>
      <c r="H74" s="164" t="s">
        <v>51</v>
      </c>
      <c r="I74" s="171" t="s">
        <v>27</v>
      </c>
      <c r="J74" s="41" t="s">
        <v>85</v>
      </c>
    </row>
    <row r="75" spans="1:10" ht="60">
      <c r="A75" s="47" t="s">
        <v>8</v>
      </c>
      <c r="B75" s="295" t="s">
        <v>86</v>
      </c>
      <c r="C75" s="296"/>
      <c r="D75" s="296"/>
      <c r="E75" s="296"/>
      <c r="F75" s="296"/>
      <c r="G75" s="297"/>
      <c r="H75" s="86">
        <f>ROUND((((((5/56)+((1/3)*(5/56))+(5/56)))*0.01)*(4/12)),4)</f>
        <v>6.9999999999999999E-4</v>
      </c>
      <c r="I75" s="87">
        <f>ROUND(H75*$I$31,2)</f>
        <v>1.95</v>
      </c>
      <c r="J75" s="88" t="s">
        <v>87</v>
      </c>
    </row>
    <row r="76" spans="1:10" ht="15.75" thickBot="1">
      <c r="A76" s="168" t="s">
        <v>10</v>
      </c>
      <c r="B76" s="298" t="s">
        <v>88</v>
      </c>
      <c r="C76" s="299"/>
      <c r="D76" s="299"/>
      <c r="E76" s="299"/>
      <c r="F76" s="299"/>
      <c r="G76" s="300"/>
      <c r="H76" s="86">
        <f>ROUND(H60*H75,4)</f>
        <v>2.9999999999999997E-4</v>
      </c>
      <c r="I76" s="87">
        <f>ROUND(H76*$I$31,2)</f>
        <v>0.84</v>
      </c>
      <c r="J76" s="88"/>
    </row>
    <row r="77" spans="1:10" ht="15.75" thickBot="1">
      <c r="A77" s="275" t="s">
        <v>70</v>
      </c>
      <c r="B77" s="276"/>
      <c r="C77" s="276"/>
      <c r="D77" s="276"/>
      <c r="E77" s="276"/>
      <c r="F77" s="276"/>
      <c r="G77" s="277"/>
      <c r="H77" s="82">
        <f>SUM(H75:H76)</f>
        <v>1E-3</v>
      </c>
      <c r="I77" s="90">
        <f>SUM(I75:I76)</f>
        <v>2.79</v>
      </c>
      <c r="J77" s="88"/>
    </row>
    <row r="78" spans="1:10">
      <c r="A78" s="278"/>
      <c r="B78" s="278"/>
      <c r="C78" s="278"/>
      <c r="D78" s="278"/>
      <c r="E78" s="278"/>
      <c r="F78" s="278"/>
      <c r="G78" s="278"/>
      <c r="H78" s="278"/>
      <c r="I78" s="278"/>
    </row>
    <row r="79" spans="1:10">
      <c r="A79" s="278" t="s">
        <v>89</v>
      </c>
      <c r="B79" s="278"/>
      <c r="C79" s="278"/>
      <c r="D79" s="278"/>
      <c r="E79" s="278"/>
      <c r="F79" s="278"/>
      <c r="G79" s="278"/>
      <c r="H79" s="278"/>
      <c r="I79" s="278"/>
    </row>
    <row r="80" spans="1:10">
      <c r="A80" s="169"/>
      <c r="B80" s="169"/>
      <c r="C80" s="169"/>
      <c r="D80" s="169"/>
      <c r="E80" s="169"/>
      <c r="F80" s="169"/>
      <c r="G80" s="169"/>
      <c r="H80" s="169"/>
      <c r="I80" s="169"/>
    </row>
    <row r="81" spans="1:10" ht="60">
      <c r="A81" s="71" t="s">
        <v>90</v>
      </c>
      <c r="B81" s="267" t="s">
        <v>91</v>
      </c>
      <c r="C81" s="268"/>
      <c r="D81" s="268"/>
      <c r="E81" s="268"/>
      <c r="F81" s="268"/>
      <c r="G81" s="285"/>
      <c r="H81" s="92" t="s">
        <v>51</v>
      </c>
      <c r="I81" s="93" t="s">
        <v>27</v>
      </c>
      <c r="J81" s="88" t="s">
        <v>92</v>
      </c>
    </row>
    <row r="82" spans="1:10" ht="84.75">
      <c r="A82" s="168" t="s">
        <v>8</v>
      </c>
      <c r="B82" s="286" t="s">
        <v>93</v>
      </c>
      <c r="C82" s="286"/>
      <c r="D82" s="286"/>
      <c r="E82" s="286"/>
      <c r="F82" s="286"/>
      <c r="G82" s="286"/>
      <c r="H82" s="94">
        <f>ROUND((((30/365.25)/30.55)*12)*0.8*(1-0.234/30.55*12),4)</f>
        <v>2.3400000000000001E-2</v>
      </c>
      <c r="I82" s="87">
        <f>ROUND(H82*$I$31,2)</f>
        <v>65.3</v>
      </c>
      <c r="J82" s="95" t="s">
        <v>94</v>
      </c>
    </row>
    <row r="83" spans="1:10" ht="141">
      <c r="A83" s="168" t="s">
        <v>10</v>
      </c>
      <c r="B83" s="287" t="s">
        <v>95</v>
      </c>
      <c r="C83" s="288"/>
      <c r="D83" s="288"/>
      <c r="E83" s="288"/>
      <c r="F83" s="288"/>
      <c r="G83" s="289"/>
      <c r="H83" s="94">
        <f>ROUND(((6/730.5)*0.05),4)</f>
        <v>4.0000000000000002E-4</v>
      </c>
      <c r="I83" s="87">
        <f>ROUND(H83*$I$31,2)</f>
        <v>1.1200000000000001</v>
      </c>
      <c r="J83" s="96" t="s">
        <v>169</v>
      </c>
    </row>
    <row r="84" spans="1:10" ht="75">
      <c r="A84" s="168" t="s">
        <v>12</v>
      </c>
      <c r="B84" s="290" t="s">
        <v>96</v>
      </c>
      <c r="C84" s="290"/>
      <c r="D84" s="290"/>
      <c r="E84" s="290"/>
      <c r="F84" s="290"/>
      <c r="G84" s="290"/>
      <c r="H84" s="94">
        <f>ROUND(H57*(H82+H83),4)</f>
        <v>1.9E-3</v>
      </c>
      <c r="I84" s="87">
        <f t="shared" ref="I84:I89" si="2">ROUND(H84*$I$31,2)</f>
        <v>5.3</v>
      </c>
      <c r="J84" s="88" t="s">
        <v>97</v>
      </c>
    </row>
    <row r="85" spans="1:10" ht="75">
      <c r="A85" s="168" t="s">
        <v>14</v>
      </c>
      <c r="B85" s="291" t="s">
        <v>98</v>
      </c>
      <c r="C85" s="292"/>
      <c r="D85" s="292"/>
      <c r="E85" s="292"/>
      <c r="F85" s="292"/>
      <c r="G85" s="293"/>
      <c r="H85" s="94">
        <f>ROUND((1/12)*0.02,4)</f>
        <v>1.6999999999999999E-3</v>
      </c>
      <c r="I85" s="87">
        <f t="shared" si="2"/>
        <v>4.74</v>
      </c>
      <c r="J85" s="88" t="s">
        <v>99</v>
      </c>
    </row>
    <row r="86" spans="1:10" ht="150">
      <c r="A86" s="168" t="s">
        <v>38</v>
      </c>
      <c r="B86" s="286" t="s">
        <v>100</v>
      </c>
      <c r="C86" s="286"/>
      <c r="D86" s="286"/>
      <c r="E86" s="286"/>
      <c r="F86" s="286"/>
      <c r="G86" s="286"/>
      <c r="H86" s="94">
        <f>0.08*0.5*0.9*(1+5/56+5/56+1/3*5/56)</f>
        <v>4.3499999999999997E-2</v>
      </c>
      <c r="I86" s="87">
        <f t="shared" si="2"/>
        <v>121.4</v>
      </c>
      <c r="J86" s="97" t="s">
        <v>101</v>
      </c>
    </row>
    <row r="87" spans="1:10" ht="115.5">
      <c r="A87" s="168" t="s">
        <v>39</v>
      </c>
      <c r="B87" s="286" t="s">
        <v>102</v>
      </c>
      <c r="C87" s="286"/>
      <c r="D87" s="286"/>
      <c r="E87" s="286"/>
      <c r="F87" s="286"/>
      <c r="G87" s="286"/>
      <c r="H87" s="94">
        <f>ROUND(((((7/30)/12)/30.55)*12)*0.2*(1-0.234/30.55*12),4)</f>
        <v>1.4E-3</v>
      </c>
      <c r="I87" s="87">
        <f t="shared" si="2"/>
        <v>3.91</v>
      </c>
      <c r="J87" s="98" t="s">
        <v>103</v>
      </c>
    </row>
    <row r="88" spans="1:10" ht="15.75" thickBot="1">
      <c r="A88" s="168" t="s">
        <v>65</v>
      </c>
      <c r="B88" s="286" t="s">
        <v>104</v>
      </c>
      <c r="C88" s="286"/>
      <c r="D88" s="286"/>
      <c r="E88" s="286"/>
      <c r="F88" s="286"/>
      <c r="G88" s="286"/>
      <c r="H88" s="94">
        <f>ROUND(H60*H87,4)</f>
        <v>5.0000000000000001E-4</v>
      </c>
      <c r="I88" s="87">
        <f t="shared" si="2"/>
        <v>1.4</v>
      </c>
      <c r="J88" s="97"/>
    </row>
    <row r="89" spans="1:10" ht="15.75" thickBot="1">
      <c r="A89" s="275" t="s">
        <v>70</v>
      </c>
      <c r="B89" s="276"/>
      <c r="C89" s="276"/>
      <c r="D89" s="276"/>
      <c r="E89" s="276"/>
      <c r="F89" s="276"/>
      <c r="G89" s="277"/>
      <c r="H89" s="82">
        <f>SUM(H82:H88)</f>
        <v>7.279999999999999E-2</v>
      </c>
      <c r="I89" s="99">
        <f t="shared" si="2"/>
        <v>203.17</v>
      </c>
      <c r="J89" s="88"/>
    </row>
    <row r="90" spans="1:10">
      <c r="A90" s="160"/>
      <c r="B90" s="306"/>
      <c r="C90" s="306"/>
      <c r="D90" s="306"/>
      <c r="E90" s="306"/>
      <c r="F90" s="306"/>
      <c r="G90" s="306"/>
      <c r="H90" s="284"/>
      <c r="I90" s="278"/>
    </row>
    <row r="91" spans="1:10">
      <c r="A91" s="278" t="s">
        <v>105</v>
      </c>
      <c r="B91" s="278"/>
      <c r="C91" s="278"/>
      <c r="D91" s="278"/>
      <c r="E91" s="278"/>
      <c r="F91" s="278"/>
      <c r="G91" s="278"/>
      <c r="H91" s="163"/>
      <c r="I91" s="163"/>
    </row>
    <row r="92" spans="1:10">
      <c r="A92" s="160"/>
      <c r="B92" s="100"/>
      <c r="C92" s="100"/>
      <c r="D92" s="100"/>
      <c r="E92" s="100"/>
      <c r="F92" s="100"/>
      <c r="G92" s="100"/>
      <c r="H92" s="101"/>
      <c r="I92" s="102"/>
    </row>
    <row r="93" spans="1:10" ht="51">
      <c r="A93" s="103" t="s">
        <v>106</v>
      </c>
      <c r="B93" s="301" t="s">
        <v>107</v>
      </c>
      <c r="C93" s="302"/>
      <c r="D93" s="302"/>
      <c r="E93" s="302"/>
      <c r="F93" s="302"/>
      <c r="G93" s="302"/>
      <c r="H93" s="92" t="s">
        <v>51</v>
      </c>
      <c r="I93" s="93" t="s">
        <v>27</v>
      </c>
      <c r="J93" s="104" t="s">
        <v>108</v>
      </c>
    </row>
    <row r="94" spans="1:10" ht="51.75">
      <c r="A94" s="105" t="s">
        <v>8</v>
      </c>
      <c r="B94" s="303" t="s">
        <v>109</v>
      </c>
      <c r="C94" s="304"/>
      <c r="D94" s="304"/>
      <c r="E94" s="304"/>
      <c r="F94" s="304"/>
      <c r="G94" s="305"/>
      <c r="H94" s="86">
        <f>8.93%+2.98%</f>
        <v>0.11909999999999998</v>
      </c>
      <c r="I94" s="87">
        <f t="shared" ref="I94:I98" si="3">ROUND(H94*$I$31,2)</f>
        <v>332.38</v>
      </c>
      <c r="J94" s="98" t="s">
        <v>110</v>
      </c>
    </row>
    <row r="95" spans="1:10" ht="24.75">
      <c r="A95" s="105" t="s">
        <v>10</v>
      </c>
      <c r="B95" s="303" t="s">
        <v>111</v>
      </c>
      <c r="C95" s="304"/>
      <c r="D95" s="304"/>
      <c r="E95" s="304"/>
      <c r="F95" s="304"/>
      <c r="G95" s="305"/>
      <c r="H95" s="86">
        <f>ROUND((5.96/30*1/12),4)</f>
        <v>1.66E-2</v>
      </c>
      <c r="I95" s="87">
        <f t="shared" si="3"/>
        <v>46.33</v>
      </c>
      <c r="J95" s="106" t="s">
        <v>112</v>
      </c>
    </row>
    <row r="96" spans="1:10" ht="24.75">
      <c r="A96" s="105" t="s">
        <v>12</v>
      </c>
      <c r="B96" s="303" t="s">
        <v>113</v>
      </c>
      <c r="C96" s="304"/>
      <c r="D96" s="304"/>
      <c r="E96" s="304"/>
      <c r="F96" s="304"/>
      <c r="G96" s="305"/>
      <c r="H96" s="86">
        <v>2.0000000000000001E-4</v>
      </c>
      <c r="I96" s="87">
        <f t="shared" si="3"/>
        <v>0.56000000000000005</v>
      </c>
      <c r="J96" s="106" t="s">
        <v>114</v>
      </c>
    </row>
    <row r="97" spans="1:10" ht="51.75">
      <c r="A97" s="105" t="s">
        <v>14</v>
      </c>
      <c r="B97" s="303" t="s">
        <v>115</v>
      </c>
      <c r="C97" s="304"/>
      <c r="D97" s="304"/>
      <c r="E97" s="304"/>
      <c r="F97" s="304"/>
      <c r="G97" s="305"/>
      <c r="H97" s="86">
        <f>ROUND(2.96/30*1/12,4)</f>
        <v>8.2000000000000007E-3</v>
      </c>
      <c r="I97" s="87">
        <f t="shared" si="3"/>
        <v>22.88</v>
      </c>
      <c r="J97" s="98" t="s">
        <v>116</v>
      </c>
    </row>
    <row r="98" spans="1:10" ht="48.75">
      <c r="A98" s="105" t="s">
        <v>38</v>
      </c>
      <c r="B98" s="303" t="s">
        <v>117</v>
      </c>
      <c r="C98" s="304"/>
      <c r="D98" s="304"/>
      <c r="E98" s="304"/>
      <c r="F98" s="304"/>
      <c r="G98" s="305"/>
      <c r="H98" s="86">
        <f>ROUND(((0.91/30)/12),4)</f>
        <v>2.5000000000000001E-3</v>
      </c>
      <c r="I98" s="87">
        <f t="shared" si="3"/>
        <v>6.98</v>
      </c>
      <c r="J98" s="106" t="s">
        <v>118</v>
      </c>
    </row>
    <row r="99" spans="1:10">
      <c r="A99" s="311" t="s">
        <v>79</v>
      </c>
      <c r="B99" s="312"/>
      <c r="C99" s="312"/>
      <c r="D99" s="312"/>
      <c r="E99" s="312"/>
      <c r="F99" s="312"/>
      <c r="G99" s="312"/>
      <c r="H99" s="107">
        <f>SUM(H94:H98)</f>
        <v>0.14660000000000001</v>
      </c>
      <c r="I99" s="108">
        <f>SUM(I94:I98)</f>
        <v>409.13</v>
      </c>
      <c r="J99" s="97"/>
    </row>
    <row r="100" spans="1:10" ht="15.75" thickBot="1">
      <c r="A100" s="109" t="s">
        <v>65</v>
      </c>
      <c r="B100" s="313" t="s">
        <v>119</v>
      </c>
      <c r="C100" s="313"/>
      <c r="D100" s="313"/>
      <c r="E100" s="313"/>
      <c r="F100" s="313"/>
      <c r="G100" s="314"/>
      <c r="H100" s="110">
        <f>ROUND(H60*H99,4)</f>
        <v>5.3900000000000003E-2</v>
      </c>
      <c r="I100" s="111">
        <f>ROUND(H100*$I$31,2)</f>
        <v>150.41999999999999</v>
      </c>
      <c r="J100" s="112" t="s">
        <v>120</v>
      </c>
    </row>
    <row r="101" spans="1:10" ht="15.75" thickBot="1">
      <c r="A101" s="275" t="s">
        <v>70</v>
      </c>
      <c r="B101" s="276"/>
      <c r="C101" s="276"/>
      <c r="D101" s="276"/>
      <c r="E101" s="276"/>
      <c r="F101" s="276"/>
      <c r="G101" s="277"/>
      <c r="H101" s="82">
        <f>H99+H100</f>
        <v>0.20050000000000001</v>
      </c>
      <c r="I101" s="83">
        <f>I99+I100</f>
        <v>559.54999999999995</v>
      </c>
      <c r="J101" s="113" t="s">
        <v>121</v>
      </c>
    </row>
    <row r="102" spans="1:10">
      <c r="A102" s="163"/>
      <c r="B102" s="163"/>
      <c r="C102" s="163"/>
      <c r="D102" s="163"/>
      <c r="E102" s="163"/>
      <c r="F102" s="163"/>
      <c r="G102" s="163"/>
      <c r="H102" s="163"/>
      <c r="I102" s="102"/>
    </row>
    <row r="103" spans="1:10">
      <c r="A103" s="278" t="s">
        <v>122</v>
      </c>
      <c r="B103" s="278"/>
      <c r="C103" s="278"/>
      <c r="D103" s="278"/>
      <c r="E103" s="278"/>
      <c r="F103" s="278"/>
      <c r="G103" s="278"/>
      <c r="H103" s="163"/>
      <c r="I103" s="163"/>
    </row>
    <row r="104" spans="1:10">
      <c r="A104" s="160"/>
      <c r="B104" s="100"/>
      <c r="C104" s="100"/>
      <c r="D104" s="100"/>
      <c r="E104" s="100"/>
      <c r="F104" s="100"/>
      <c r="G104" s="100"/>
      <c r="H104" s="101"/>
      <c r="I104" s="102"/>
    </row>
    <row r="105" spans="1:10" ht="45">
      <c r="A105" s="114">
        <v>4</v>
      </c>
      <c r="B105" s="315" t="s">
        <v>123</v>
      </c>
      <c r="C105" s="316"/>
      <c r="D105" s="316"/>
      <c r="E105" s="316"/>
      <c r="F105" s="316"/>
      <c r="G105" s="316"/>
      <c r="H105" s="164" t="s">
        <v>51</v>
      </c>
      <c r="I105" s="115" t="s">
        <v>27</v>
      </c>
      <c r="J105" s="116" t="s">
        <v>124</v>
      </c>
    </row>
    <row r="106" spans="1:10" ht="24.75">
      <c r="A106" s="166" t="s">
        <v>49</v>
      </c>
      <c r="B106" s="307" t="s">
        <v>125</v>
      </c>
      <c r="C106" s="307"/>
      <c r="D106" s="307"/>
      <c r="E106" s="307"/>
      <c r="F106" s="307"/>
      <c r="G106" s="308"/>
      <c r="H106" s="118">
        <f>H60</f>
        <v>0.3680000000000001</v>
      </c>
      <c r="I106" s="119">
        <f>I60</f>
        <v>1026.987122</v>
      </c>
      <c r="J106" s="120" t="s">
        <v>126</v>
      </c>
    </row>
    <row r="107" spans="1:10">
      <c r="A107" s="166" t="s">
        <v>74</v>
      </c>
      <c r="B107" s="307" t="s">
        <v>127</v>
      </c>
      <c r="C107" s="307"/>
      <c r="D107" s="307"/>
      <c r="E107" s="307"/>
      <c r="F107" s="307"/>
      <c r="G107" s="308"/>
      <c r="H107" s="118">
        <f>H70</f>
        <v>0.1222</v>
      </c>
      <c r="I107" s="119">
        <f>I70</f>
        <v>341.03</v>
      </c>
      <c r="J107" s="120" t="s">
        <v>128</v>
      </c>
    </row>
    <row r="108" spans="1:10">
      <c r="A108" s="166" t="s">
        <v>83</v>
      </c>
      <c r="B108" s="307" t="s">
        <v>129</v>
      </c>
      <c r="C108" s="307"/>
      <c r="D108" s="307"/>
      <c r="E108" s="307"/>
      <c r="F108" s="307"/>
      <c r="G108" s="308"/>
      <c r="H108" s="118">
        <f>H77</f>
        <v>1E-3</v>
      </c>
      <c r="I108" s="119">
        <f>I77</f>
        <v>2.79</v>
      </c>
      <c r="J108" s="120" t="s">
        <v>130</v>
      </c>
    </row>
    <row r="109" spans="1:10">
      <c r="A109" s="166" t="s">
        <v>90</v>
      </c>
      <c r="B109" s="307" t="s">
        <v>131</v>
      </c>
      <c r="C109" s="307"/>
      <c r="D109" s="307"/>
      <c r="E109" s="307"/>
      <c r="F109" s="307"/>
      <c r="G109" s="308"/>
      <c r="H109" s="118">
        <f>H89</f>
        <v>7.279999999999999E-2</v>
      </c>
      <c r="I109" s="119">
        <f>I89</f>
        <v>203.17</v>
      </c>
      <c r="J109" s="120" t="s">
        <v>132</v>
      </c>
    </row>
    <row r="110" spans="1:10">
      <c r="A110" s="166" t="s">
        <v>106</v>
      </c>
      <c r="B110" s="307" t="s">
        <v>133</v>
      </c>
      <c r="C110" s="307"/>
      <c r="D110" s="307"/>
      <c r="E110" s="307"/>
      <c r="F110" s="307"/>
      <c r="G110" s="308"/>
      <c r="H110" s="118">
        <f>H101</f>
        <v>0.20050000000000001</v>
      </c>
      <c r="I110" s="119">
        <f>I101</f>
        <v>559.54999999999995</v>
      </c>
      <c r="J110" s="120" t="s">
        <v>134</v>
      </c>
    </row>
    <row r="111" spans="1:10" ht="15.75" thickBot="1">
      <c r="A111" s="167" t="s">
        <v>135</v>
      </c>
      <c r="B111" s="309" t="s">
        <v>136</v>
      </c>
      <c r="C111" s="309"/>
      <c r="D111" s="309"/>
      <c r="E111" s="309"/>
      <c r="F111" s="309"/>
      <c r="G111" s="310"/>
      <c r="H111" s="122"/>
      <c r="I111" s="123">
        <v>0</v>
      </c>
      <c r="J111" s="116"/>
    </row>
    <row r="112" spans="1:10" ht="15.75" thickBot="1">
      <c r="A112" s="275" t="s">
        <v>70</v>
      </c>
      <c r="B112" s="276"/>
      <c r="C112" s="276"/>
      <c r="D112" s="276"/>
      <c r="E112" s="276"/>
      <c r="F112" s="276"/>
      <c r="G112" s="277"/>
      <c r="H112" s="124">
        <f>SUM(H106:H111)</f>
        <v>0.76450000000000007</v>
      </c>
      <c r="I112" s="83">
        <f>SUM(I106:I111)</f>
        <v>2133.527122</v>
      </c>
      <c r="J112" s="33"/>
    </row>
    <row r="113" spans="1:10">
      <c r="A113" s="125"/>
      <c r="B113" s="125"/>
      <c r="C113" s="125"/>
      <c r="D113" s="125"/>
      <c r="E113" s="125"/>
      <c r="F113" s="125"/>
      <c r="G113" s="125"/>
      <c r="H113" s="125"/>
      <c r="I113" s="125"/>
    </row>
    <row r="114" spans="1:10">
      <c r="A114" s="278" t="s">
        <v>137</v>
      </c>
      <c r="B114" s="278"/>
      <c r="C114" s="278"/>
      <c r="D114" s="278"/>
      <c r="E114" s="278"/>
      <c r="F114" s="278"/>
      <c r="G114" s="278"/>
      <c r="H114" s="278"/>
      <c r="I114" s="278"/>
    </row>
    <row r="115" spans="1:10">
      <c r="A115" s="163"/>
      <c r="B115" s="163"/>
      <c r="C115" s="163"/>
      <c r="D115" s="163"/>
      <c r="E115" s="163"/>
      <c r="F115" s="163"/>
      <c r="G115" s="163"/>
      <c r="H115" s="163"/>
      <c r="I115" s="163"/>
    </row>
    <row r="116" spans="1:10" ht="45">
      <c r="A116" s="164">
        <v>5</v>
      </c>
      <c r="B116" s="294" t="s">
        <v>138</v>
      </c>
      <c r="C116" s="294"/>
      <c r="D116" s="294"/>
      <c r="E116" s="294"/>
      <c r="F116" s="294"/>
      <c r="G116" s="294"/>
      <c r="H116" s="164" t="s">
        <v>51</v>
      </c>
      <c r="I116" s="171" t="s">
        <v>27</v>
      </c>
      <c r="J116" s="33" t="s">
        <v>124</v>
      </c>
    </row>
    <row r="117" spans="1:10">
      <c r="A117" s="165" t="s">
        <v>8</v>
      </c>
      <c r="B117" s="327" t="s">
        <v>139</v>
      </c>
      <c r="C117" s="327"/>
      <c r="D117" s="327"/>
      <c r="E117" s="327"/>
      <c r="F117" s="327"/>
      <c r="G117" s="327"/>
      <c r="H117" s="127">
        <v>0.06</v>
      </c>
      <c r="I117" s="128">
        <f>ROUND(I138*H117,2)</f>
        <v>306.16000000000003</v>
      </c>
      <c r="J117" s="33"/>
    </row>
    <row r="118" spans="1:10">
      <c r="A118" s="165"/>
      <c r="B118" s="270" t="s">
        <v>140</v>
      </c>
      <c r="C118" s="328"/>
      <c r="D118" s="328"/>
      <c r="E118" s="328"/>
      <c r="F118" s="328"/>
      <c r="G118" s="329"/>
      <c r="H118" s="127"/>
      <c r="I118" s="128">
        <f>I138+I117</f>
        <v>5408.8992564444452</v>
      </c>
      <c r="J118" s="33"/>
    </row>
    <row r="119" spans="1:10" ht="30">
      <c r="A119" s="165" t="s">
        <v>10</v>
      </c>
      <c r="B119" s="270" t="s">
        <v>141</v>
      </c>
      <c r="C119" s="328"/>
      <c r="D119" s="328"/>
      <c r="E119" s="328"/>
      <c r="F119" s="328"/>
      <c r="G119" s="329"/>
      <c r="H119" s="129">
        <v>6.7900000000000002E-2</v>
      </c>
      <c r="I119" s="128">
        <f>I118*H119</f>
        <v>367.26425951257784</v>
      </c>
      <c r="J119" s="116" t="s">
        <v>142</v>
      </c>
    </row>
    <row r="120" spans="1:10">
      <c r="A120" s="165"/>
      <c r="B120" s="317" t="s">
        <v>143</v>
      </c>
      <c r="C120" s="318"/>
      <c r="D120" s="318"/>
      <c r="E120" s="318"/>
      <c r="F120" s="318"/>
      <c r="G120" s="319"/>
      <c r="H120" s="130">
        <f>SUM(H117:H119)</f>
        <v>0.12790000000000001</v>
      </c>
      <c r="I120" s="131">
        <f>I117+I119</f>
        <v>673.42425951257792</v>
      </c>
      <c r="J120" s="132"/>
    </row>
    <row r="121" spans="1:10">
      <c r="A121" s="165"/>
      <c r="B121" s="320" t="s">
        <v>79</v>
      </c>
      <c r="C121" s="321"/>
      <c r="D121" s="321"/>
      <c r="E121" s="321"/>
      <c r="F121" s="321"/>
      <c r="G121" s="322"/>
      <c r="H121" s="133"/>
      <c r="I121" s="131">
        <f>I120+I134+I135+I136+I137</f>
        <v>5776.1635159570233</v>
      </c>
      <c r="J121" s="134"/>
    </row>
    <row r="122" spans="1:10">
      <c r="A122" s="165"/>
      <c r="B122" s="323" t="s">
        <v>144</v>
      </c>
      <c r="C122" s="324"/>
      <c r="D122" s="324"/>
      <c r="E122" s="324"/>
      <c r="F122" s="324"/>
      <c r="G122" s="325"/>
      <c r="H122" s="135"/>
      <c r="I122" s="131">
        <f>I121/((100-8.65)/100)</f>
        <v>6323.112770615242</v>
      </c>
      <c r="J122" s="136"/>
    </row>
    <row r="123" spans="1:10">
      <c r="A123" s="162" t="s">
        <v>12</v>
      </c>
      <c r="B123" s="326" t="s">
        <v>145</v>
      </c>
      <c r="C123" s="326"/>
      <c r="D123" s="326"/>
      <c r="E123" s="326"/>
      <c r="F123" s="326"/>
      <c r="G123" s="326"/>
      <c r="H123" s="135">
        <f>SUM(H124:H126)</f>
        <v>8.6499999999999994E-2</v>
      </c>
      <c r="I123" s="138">
        <f>SUM(I124:I126)</f>
        <v>546.94925465821848</v>
      </c>
      <c r="J123" s="136"/>
    </row>
    <row r="124" spans="1:10">
      <c r="A124" s="162"/>
      <c r="B124" s="326" t="s">
        <v>146</v>
      </c>
      <c r="C124" s="326"/>
      <c r="D124" s="326"/>
      <c r="E124" s="326"/>
      <c r="F124" s="326"/>
      <c r="G124" s="326"/>
      <c r="H124" s="139">
        <v>3.6499999999999998E-2</v>
      </c>
      <c r="I124" s="140">
        <f>H124*I122</f>
        <v>230.79361612745632</v>
      </c>
      <c r="J124" s="136"/>
    </row>
    <row r="125" spans="1:10">
      <c r="A125" s="162"/>
      <c r="B125" s="326" t="s">
        <v>147</v>
      </c>
      <c r="C125" s="326"/>
      <c r="D125" s="326"/>
      <c r="E125" s="326"/>
      <c r="F125" s="326"/>
      <c r="G125" s="326"/>
      <c r="H125" s="139">
        <v>0</v>
      </c>
      <c r="I125" s="140">
        <f>H125*I122</f>
        <v>0</v>
      </c>
      <c r="J125" s="136"/>
    </row>
    <row r="126" spans="1:10">
      <c r="A126" s="162"/>
      <c r="B126" s="162" t="s">
        <v>148</v>
      </c>
      <c r="C126" s="162"/>
      <c r="D126" s="340" t="s">
        <v>149</v>
      </c>
      <c r="E126" s="341"/>
      <c r="F126" s="342">
        <f>H14</f>
        <v>12</v>
      </c>
      <c r="G126" s="343"/>
      <c r="H126" s="141">
        <v>0.05</v>
      </c>
      <c r="I126" s="142">
        <f>H126*I122</f>
        <v>316.15563853076213</v>
      </c>
      <c r="J126" s="143"/>
    </row>
    <row r="127" spans="1:10">
      <c r="A127" s="344" t="s">
        <v>70</v>
      </c>
      <c r="B127" s="345"/>
      <c r="C127" s="345"/>
      <c r="D127" s="345"/>
      <c r="E127" s="345"/>
      <c r="F127" s="345"/>
      <c r="G127" s="346"/>
      <c r="H127" s="144">
        <f>SUM(H124:H126)+H120</f>
        <v>0.21440000000000001</v>
      </c>
      <c r="I127" s="145">
        <f>SUM(I124:I126)+I120</f>
        <v>1220.3735141707964</v>
      </c>
      <c r="J127" s="143"/>
    </row>
    <row r="128" spans="1:10">
      <c r="A128" s="347" t="s">
        <v>150</v>
      </c>
      <c r="B128" s="347"/>
      <c r="C128" s="347"/>
      <c r="D128" s="347"/>
      <c r="E128" s="347"/>
      <c r="F128" s="347"/>
      <c r="G128" s="347"/>
      <c r="H128" s="347"/>
      <c r="I128" s="347"/>
    </row>
    <row r="129" spans="1:10">
      <c r="A129" s="306" t="s">
        <v>151</v>
      </c>
      <c r="B129" s="306"/>
      <c r="C129" s="306"/>
      <c r="D129" s="306"/>
      <c r="E129" s="306"/>
      <c r="F129" s="306"/>
      <c r="G129" s="306"/>
      <c r="H129" s="306"/>
      <c r="I129" s="306"/>
    </row>
    <row r="131" spans="1:10">
      <c r="A131" s="224" t="s">
        <v>152</v>
      </c>
      <c r="B131" s="224"/>
      <c r="C131" s="224"/>
      <c r="D131" s="224"/>
      <c r="E131" s="224"/>
      <c r="F131" s="224"/>
      <c r="G131" s="224"/>
      <c r="H131" s="224"/>
      <c r="I131" s="224"/>
    </row>
    <row r="132" spans="1:10">
      <c r="A132" s="175"/>
      <c r="B132" s="175"/>
      <c r="C132" s="175"/>
      <c r="D132" s="175"/>
      <c r="E132" s="175"/>
      <c r="F132" s="175"/>
      <c r="G132" s="175"/>
      <c r="H132" s="175"/>
      <c r="I132" s="175"/>
    </row>
    <row r="133" spans="1:10" ht="45">
      <c r="A133" s="146"/>
      <c r="B133" s="333" t="s">
        <v>153</v>
      </c>
      <c r="C133" s="334"/>
      <c r="D133" s="334"/>
      <c r="E133" s="334"/>
      <c r="F133" s="334"/>
      <c r="G133" s="335"/>
      <c r="H133" s="147" t="s">
        <v>51</v>
      </c>
      <c r="I133" s="146" t="s">
        <v>27</v>
      </c>
      <c r="J133" s="148" t="s">
        <v>154</v>
      </c>
    </row>
    <row r="134" spans="1:10">
      <c r="A134" s="159" t="s">
        <v>8</v>
      </c>
      <c r="B134" s="336" t="s">
        <v>155</v>
      </c>
      <c r="C134" s="336"/>
      <c r="D134" s="336"/>
      <c r="E134" s="336"/>
      <c r="F134" s="336"/>
      <c r="G134" s="337"/>
      <c r="H134" s="150"/>
      <c r="I134" s="151">
        <f>I31</f>
        <v>2790.7308000000003</v>
      </c>
      <c r="J134" s="148"/>
    </row>
    <row r="135" spans="1:10">
      <c r="A135" s="159" t="s">
        <v>10</v>
      </c>
      <c r="B135" s="336" t="s">
        <v>156</v>
      </c>
      <c r="C135" s="336"/>
      <c r="D135" s="336"/>
      <c r="E135" s="336"/>
      <c r="F135" s="336"/>
      <c r="G135" s="337"/>
      <c r="H135" s="150"/>
      <c r="I135" s="151">
        <f>I38</f>
        <v>55.855640000000001</v>
      </c>
      <c r="J135" s="148"/>
    </row>
    <row r="136" spans="1:10">
      <c r="A136" s="159" t="s">
        <v>12</v>
      </c>
      <c r="B136" s="336" t="s">
        <v>157</v>
      </c>
      <c r="C136" s="336"/>
      <c r="D136" s="336"/>
      <c r="E136" s="336"/>
      <c r="F136" s="336"/>
      <c r="G136" s="337"/>
      <c r="H136" s="150"/>
      <c r="I136" s="151">
        <f>I45</f>
        <v>122.62569444444445</v>
      </c>
      <c r="J136" s="148"/>
    </row>
    <row r="137" spans="1:10">
      <c r="A137" s="159" t="s">
        <v>14</v>
      </c>
      <c r="B137" s="336" t="s">
        <v>158</v>
      </c>
      <c r="C137" s="336"/>
      <c r="D137" s="336"/>
      <c r="E137" s="336"/>
      <c r="F137" s="336"/>
      <c r="G137" s="337"/>
      <c r="H137" s="150"/>
      <c r="I137" s="151">
        <f>I112</f>
        <v>2133.527122</v>
      </c>
      <c r="J137" s="148"/>
    </row>
    <row r="138" spans="1:10">
      <c r="A138" s="338" t="s">
        <v>159</v>
      </c>
      <c r="B138" s="339"/>
      <c r="C138" s="339"/>
      <c r="D138" s="339"/>
      <c r="E138" s="339"/>
      <c r="F138" s="339"/>
      <c r="G138" s="339"/>
      <c r="H138" s="152"/>
      <c r="I138" s="153">
        <f>SUM(I134:I137)</f>
        <v>5102.7392564444453</v>
      </c>
      <c r="J138" s="148"/>
    </row>
    <row r="139" spans="1:10" ht="15.75" thickBot="1">
      <c r="A139" s="154" t="s">
        <v>38</v>
      </c>
      <c r="B139" s="330" t="s">
        <v>160</v>
      </c>
      <c r="C139" s="331"/>
      <c r="D139" s="331"/>
      <c r="E139" s="331"/>
      <c r="F139" s="331"/>
      <c r="G139" s="332"/>
      <c r="H139" s="155"/>
      <c r="I139" s="156">
        <f>I127</f>
        <v>1220.3735141707964</v>
      </c>
      <c r="J139" s="148"/>
    </row>
    <row r="140" spans="1:10" ht="15.75" thickBot="1">
      <c r="A140" s="280" t="s">
        <v>161</v>
      </c>
      <c r="B140" s="281"/>
      <c r="C140" s="281"/>
      <c r="D140" s="281"/>
      <c r="E140" s="281"/>
      <c r="F140" s="281"/>
      <c r="G140" s="282"/>
      <c r="H140" s="157"/>
      <c r="I140" s="158">
        <f>I138+I139</f>
        <v>6323.112770615242</v>
      </c>
      <c r="J140" s="148"/>
    </row>
  </sheetData>
  <mergeCells count="121">
    <mergeCell ref="B139:G139"/>
    <mergeCell ref="A140:G140"/>
    <mergeCell ref="B133:G133"/>
    <mergeCell ref="B134:G134"/>
    <mergeCell ref="B135:G135"/>
    <mergeCell ref="B136:G136"/>
    <mergeCell ref="B137:G137"/>
    <mergeCell ref="A138:G138"/>
    <mergeCell ref="D126:E126"/>
    <mergeCell ref="F126:G126"/>
    <mergeCell ref="A127:G127"/>
    <mergeCell ref="A128:I128"/>
    <mergeCell ref="A129:I129"/>
    <mergeCell ref="A131:I131"/>
    <mergeCell ref="B120:G120"/>
    <mergeCell ref="B121:G121"/>
    <mergeCell ref="B122:G122"/>
    <mergeCell ref="B123:G123"/>
    <mergeCell ref="B124:G124"/>
    <mergeCell ref="B125:G125"/>
    <mergeCell ref="A112:G112"/>
    <mergeCell ref="A114:I114"/>
    <mergeCell ref="B116:G116"/>
    <mergeCell ref="B117:G117"/>
    <mergeCell ref="B118:G118"/>
    <mergeCell ref="B119:G119"/>
    <mergeCell ref="B106:G106"/>
    <mergeCell ref="B107:G107"/>
    <mergeCell ref="B108:G108"/>
    <mergeCell ref="B109:G109"/>
    <mergeCell ref="B110:G110"/>
    <mergeCell ref="B111:G111"/>
    <mergeCell ref="B98:G98"/>
    <mergeCell ref="A99:G99"/>
    <mergeCell ref="B100:G100"/>
    <mergeCell ref="A101:G101"/>
    <mergeCell ref="A103:G103"/>
    <mergeCell ref="B105:G105"/>
    <mergeCell ref="A91:G91"/>
    <mergeCell ref="B93:G93"/>
    <mergeCell ref="B94:G94"/>
    <mergeCell ref="B95:G95"/>
    <mergeCell ref="B96:G96"/>
    <mergeCell ref="B97:G97"/>
    <mergeCell ref="B86:G86"/>
    <mergeCell ref="B87:G87"/>
    <mergeCell ref="B88:G88"/>
    <mergeCell ref="A89:G89"/>
    <mergeCell ref="B90:G90"/>
    <mergeCell ref="H90:I90"/>
    <mergeCell ref="A79:I79"/>
    <mergeCell ref="B81:G81"/>
    <mergeCell ref="B82:G82"/>
    <mergeCell ref="B83:G83"/>
    <mergeCell ref="B84:G84"/>
    <mergeCell ref="B85:G85"/>
    <mergeCell ref="B74:G74"/>
    <mergeCell ref="B75:G75"/>
    <mergeCell ref="B76:G76"/>
    <mergeCell ref="A77:G77"/>
    <mergeCell ref="A78:G78"/>
    <mergeCell ref="H78:I78"/>
    <mergeCell ref="B66:G66"/>
    <mergeCell ref="B67:G67"/>
    <mergeCell ref="A68:G68"/>
    <mergeCell ref="B69:G69"/>
    <mergeCell ref="A70:G70"/>
    <mergeCell ref="A72:I72"/>
    <mergeCell ref="B58:G58"/>
    <mergeCell ref="B59:G59"/>
    <mergeCell ref="A60:G60"/>
    <mergeCell ref="A61:I61"/>
    <mergeCell ref="A62:I62"/>
    <mergeCell ref="A64:I64"/>
    <mergeCell ref="B52:G52"/>
    <mergeCell ref="B53:G53"/>
    <mergeCell ref="B54:G54"/>
    <mergeCell ref="B55:G55"/>
    <mergeCell ref="B56:G56"/>
    <mergeCell ref="B57:G57"/>
    <mergeCell ref="B41:F41"/>
    <mergeCell ref="B42:F42"/>
    <mergeCell ref="B45:G45"/>
    <mergeCell ref="A47:I47"/>
    <mergeCell ref="A49:I49"/>
    <mergeCell ref="B51:G51"/>
    <mergeCell ref="B36:F36"/>
    <mergeCell ref="B37:F37"/>
    <mergeCell ref="B38:G38"/>
    <mergeCell ref="A39:I39"/>
    <mergeCell ref="B26:F26"/>
    <mergeCell ref="B27:F27"/>
    <mergeCell ref="B29:F29"/>
    <mergeCell ref="B31:F31"/>
    <mergeCell ref="A33:I33"/>
    <mergeCell ref="B35:F35"/>
    <mergeCell ref="B28:F28"/>
    <mergeCell ref="B21:G21"/>
    <mergeCell ref="H21:J21"/>
    <mergeCell ref="H22:J22"/>
    <mergeCell ref="B23:G23"/>
    <mergeCell ref="H23:J23"/>
    <mergeCell ref="A25:I25"/>
    <mergeCell ref="B14:G14"/>
    <mergeCell ref="A16:I16"/>
    <mergeCell ref="A18:J18"/>
    <mergeCell ref="B19:G19"/>
    <mergeCell ref="B20:G20"/>
    <mergeCell ref="H20:J20"/>
    <mergeCell ref="A9:D9"/>
    <mergeCell ref="E9:I9"/>
    <mergeCell ref="A10:I10"/>
    <mergeCell ref="B11:G11"/>
    <mergeCell ref="B12:G12"/>
    <mergeCell ref="B13:G13"/>
    <mergeCell ref="A4:I4"/>
    <mergeCell ref="A5:I5"/>
    <mergeCell ref="A6:I6"/>
    <mergeCell ref="A7:D7"/>
    <mergeCell ref="A8:D8"/>
    <mergeCell ref="H8:J8"/>
  </mergeCells>
  <pageMargins left="0.511811024" right="0.511811024" top="0.78740157499999996" bottom="0.78740157499999996" header="0.31496062000000002" footer="0.31496062000000002"/>
  <pageSetup paperSize="9" scale="62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1</xdr:col>
                <xdr:colOff>247650</xdr:colOff>
                <xdr:row>0</xdr:row>
                <xdr:rowOff>0</xdr:rowOff>
              </from>
              <to>
                <xdr:col>1</xdr:col>
                <xdr:colOff>885825</xdr:colOff>
                <xdr:row>4</xdr:row>
                <xdr:rowOff>0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topLeftCell="A22" workbookViewId="0">
      <selection activeCell="I119" sqref="I119"/>
    </sheetView>
  </sheetViews>
  <sheetFormatPr defaultRowHeight="15"/>
  <cols>
    <col min="1" max="1" width="5.7109375" customWidth="1"/>
    <col min="2" max="2" width="13.5703125" customWidth="1"/>
    <col min="3" max="3" width="15.28515625" customWidth="1"/>
    <col min="4" max="4" width="10.5703125" customWidth="1"/>
    <col min="5" max="5" width="14.28515625" customWidth="1"/>
    <col min="6" max="6" width="14" customWidth="1"/>
    <col min="7" max="7" width="17.140625" customWidth="1"/>
    <col min="8" max="8" width="17.7109375" customWidth="1"/>
    <col min="9" max="9" width="18.85546875" customWidth="1"/>
    <col min="10" max="10" width="19.5703125" customWidth="1"/>
  </cols>
  <sheetData>
    <row r="1" spans="1:10" ht="15.75">
      <c r="A1" s="1"/>
      <c r="B1" s="1"/>
      <c r="C1" s="2" t="s">
        <v>0</v>
      </c>
      <c r="D1" s="2"/>
      <c r="E1" s="2"/>
      <c r="F1" s="1"/>
      <c r="G1" s="1"/>
      <c r="H1" s="2"/>
      <c r="I1" s="2"/>
    </row>
    <row r="2" spans="1:10">
      <c r="A2" s="1"/>
      <c r="B2" s="1"/>
      <c r="C2" s="3" t="s">
        <v>1</v>
      </c>
      <c r="D2" s="3"/>
      <c r="E2" s="3"/>
      <c r="F2" s="1"/>
      <c r="G2" s="1"/>
      <c r="H2" s="3"/>
      <c r="I2" s="3"/>
    </row>
    <row r="3" spans="1:10">
      <c r="A3" s="1"/>
      <c r="B3" s="1"/>
      <c r="C3" s="4" t="s">
        <v>2</v>
      </c>
      <c r="D3" s="4"/>
      <c r="E3" s="4"/>
      <c r="F3" s="1"/>
      <c r="G3" s="1"/>
      <c r="H3" s="4"/>
      <c r="I3" s="4"/>
    </row>
    <row r="4" spans="1:10">
      <c r="A4" s="224"/>
      <c r="B4" s="224"/>
      <c r="C4" s="224"/>
      <c r="D4" s="224"/>
      <c r="E4" s="224"/>
      <c r="F4" s="224"/>
      <c r="G4" s="224"/>
      <c r="H4" s="224"/>
      <c r="I4" s="224"/>
    </row>
    <row r="5" spans="1:10">
      <c r="A5" s="225" t="s">
        <v>3</v>
      </c>
      <c r="B5" s="225"/>
      <c r="C5" s="225"/>
      <c r="D5" s="225"/>
      <c r="E5" s="225"/>
      <c r="F5" s="225"/>
      <c r="G5" s="225"/>
      <c r="H5" s="225"/>
      <c r="I5" s="225"/>
    </row>
    <row r="6" spans="1:10">
      <c r="A6" s="226" t="s">
        <v>222</v>
      </c>
      <c r="B6" s="226"/>
      <c r="C6" s="226"/>
      <c r="D6" s="226"/>
      <c r="E6" s="226"/>
      <c r="F6" s="226"/>
      <c r="G6" s="226"/>
      <c r="H6" s="227"/>
      <c r="I6" s="227"/>
    </row>
    <row r="7" spans="1:10">
      <c r="A7" s="223" t="s">
        <v>4</v>
      </c>
      <c r="B7" s="223"/>
      <c r="C7" s="223"/>
      <c r="D7" s="223"/>
      <c r="E7" s="5" t="s">
        <v>5</v>
      </c>
      <c r="F7" s="6"/>
      <c r="G7" s="6"/>
      <c r="H7" s="7"/>
      <c r="I7" s="8"/>
      <c r="J7" s="9"/>
    </row>
    <row r="8" spans="1:10">
      <c r="A8" s="223" t="s">
        <v>6</v>
      </c>
      <c r="B8" s="223"/>
      <c r="C8" s="223"/>
      <c r="D8" s="223"/>
      <c r="E8" s="10" t="s">
        <v>5</v>
      </c>
      <c r="F8" s="11"/>
      <c r="G8" s="11"/>
      <c r="H8" s="228"/>
      <c r="I8" s="229"/>
      <c r="J8" s="230"/>
    </row>
    <row r="9" spans="1:10">
      <c r="A9" s="219" t="s">
        <v>7</v>
      </c>
      <c r="B9" s="219"/>
      <c r="C9" s="219"/>
      <c r="D9" s="219"/>
      <c r="E9" s="220"/>
      <c r="F9" s="220"/>
      <c r="G9" s="220"/>
      <c r="H9" s="221"/>
      <c r="I9" s="221"/>
    </row>
    <row r="10" spans="1:10">
      <c r="A10" s="222"/>
      <c r="B10" s="222"/>
      <c r="C10" s="222"/>
      <c r="D10" s="222"/>
      <c r="E10" s="222"/>
      <c r="F10" s="222"/>
      <c r="G10" s="222"/>
      <c r="H10" s="222"/>
      <c r="I10" s="222"/>
    </row>
    <row r="11" spans="1:10">
      <c r="A11" s="12" t="s">
        <v>8</v>
      </c>
      <c r="B11" s="223" t="s">
        <v>9</v>
      </c>
      <c r="C11" s="223"/>
      <c r="D11" s="223"/>
      <c r="E11" s="223"/>
      <c r="F11" s="223"/>
      <c r="G11" s="223"/>
      <c r="H11" s="13"/>
      <c r="I11" s="14"/>
      <c r="J11" s="15"/>
    </row>
    <row r="12" spans="1:10">
      <c r="A12" s="12" t="s">
        <v>10</v>
      </c>
      <c r="B12" s="223" t="s">
        <v>11</v>
      </c>
      <c r="C12" s="223"/>
      <c r="D12" s="223"/>
      <c r="E12" s="223"/>
      <c r="F12" s="223"/>
      <c r="G12" s="223"/>
      <c r="H12" s="5"/>
      <c r="I12" s="6"/>
      <c r="J12" s="16"/>
    </row>
    <row r="13" spans="1:10">
      <c r="A13" s="12" t="s">
        <v>12</v>
      </c>
      <c r="B13" s="223" t="s">
        <v>13</v>
      </c>
      <c r="C13" s="223"/>
      <c r="D13" s="223"/>
      <c r="E13" s="223"/>
      <c r="F13" s="223"/>
      <c r="G13" s="223"/>
      <c r="H13" s="5" t="s">
        <v>162</v>
      </c>
      <c r="I13" s="6"/>
      <c r="J13" s="16"/>
    </row>
    <row r="14" spans="1:10">
      <c r="A14" s="12" t="s">
        <v>14</v>
      </c>
      <c r="B14" s="223" t="s">
        <v>15</v>
      </c>
      <c r="C14" s="223"/>
      <c r="D14" s="223"/>
      <c r="E14" s="223"/>
      <c r="F14" s="223"/>
      <c r="G14" s="223"/>
      <c r="H14" s="17">
        <v>12</v>
      </c>
      <c r="I14" s="6"/>
      <c r="J14" s="16"/>
    </row>
    <row r="15" spans="1:10">
      <c r="A15" s="18"/>
      <c r="B15" s="18"/>
      <c r="C15" s="18"/>
      <c r="D15" s="18"/>
      <c r="E15" s="18"/>
      <c r="F15" s="18"/>
      <c r="G15" s="18"/>
      <c r="H15" s="19"/>
      <c r="I15" s="19"/>
    </row>
    <row r="16" spans="1:10">
      <c r="A16" s="224" t="s">
        <v>16</v>
      </c>
      <c r="B16" s="224"/>
      <c r="C16" s="224"/>
      <c r="D16" s="224"/>
      <c r="E16" s="224"/>
      <c r="F16" s="224"/>
      <c r="G16" s="224"/>
      <c r="H16" s="224"/>
      <c r="I16" s="224"/>
    </row>
    <row r="17" spans="1:10">
      <c r="A17" s="20"/>
      <c r="B17" s="20"/>
      <c r="C17" s="20"/>
      <c r="D17" s="20"/>
      <c r="E17" s="20"/>
      <c r="F17" s="20"/>
      <c r="G17" s="20"/>
      <c r="H17" s="20"/>
      <c r="I17" s="20"/>
    </row>
    <row r="18" spans="1:10">
      <c r="A18" s="241" t="s">
        <v>17</v>
      </c>
      <c r="B18" s="242"/>
      <c r="C18" s="242"/>
      <c r="D18" s="242"/>
      <c r="E18" s="242"/>
      <c r="F18" s="242"/>
      <c r="G18" s="242"/>
      <c r="H18" s="242"/>
      <c r="I18" s="242"/>
      <c r="J18" s="243"/>
    </row>
    <row r="19" spans="1:10">
      <c r="A19" s="21">
        <v>1</v>
      </c>
      <c r="B19" s="244" t="s">
        <v>18</v>
      </c>
      <c r="C19" s="245"/>
      <c r="D19" s="245"/>
      <c r="E19" s="245"/>
      <c r="F19" s="245"/>
      <c r="G19" s="246"/>
      <c r="H19" s="22" t="s">
        <v>198</v>
      </c>
      <c r="I19" s="23"/>
      <c r="J19" s="24"/>
    </row>
    <row r="20" spans="1:10">
      <c r="A20" s="25">
        <v>2</v>
      </c>
      <c r="B20" s="231" t="s">
        <v>19</v>
      </c>
      <c r="C20" s="232"/>
      <c r="D20" s="232"/>
      <c r="E20" s="232"/>
      <c r="F20" s="232"/>
      <c r="G20" s="233"/>
      <c r="H20" s="247">
        <v>1192.6199999999999</v>
      </c>
      <c r="I20" s="248"/>
      <c r="J20" s="249"/>
    </row>
    <row r="21" spans="1:10">
      <c r="A21" s="25">
        <v>3</v>
      </c>
      <c r="B21" s="231" t="s">
        <v>20</v>
      </c>
      <c r="C21" s="232"/>
      <c r="D21" s="232"/>
      <c r="E21" s="232"/>
      <c r="F21" s="232"/>
      <c r="G21" s="233"/>
      <c r="H21" s="234" t="s">
        <v>199</v>
      </c>
      <c r="I21" s="235"/>
      <c r="J21" s="236"/>
    </row>
    <row r="22" spans="1:10">
      <c r="A22" s="25">
        <v>4</v>
      </c>
      <c r="B22" s="26" t="s">
        <v>21</v>
      </c>
      <c r="C22" s="27"/>
      <c r="D22" s="27"/>
      <c r="E22" s="27"/>
      <c r="F22" s="27"/>
      <c r="G22" s="28"/>
      <c r="H22" s="237">
        <v>1</v>
      </c>
      <c r="I22" s="235"/>
      <c r="J22" s="236"/>
    </row>
    <row r="23" spans="1:10">
      <c r="A23" s="25">
        <v>5</v>
      </c>
      <c r="B23" s="231" t="s">
        <v>22</v>
      </c>
      <c r="C23" s="232"/>
      <c r="D23" s="232"/>
      <c r="E23" s="232"/>
      <c r="F23" s="232"/>
      <c r="G23" s="233"/>
      <c r="H23" s="238">
        <v>42095</v>
      </c>
      <c r="I23" s="239"/>
      <c r="J23" s="240"/>
    </row>
    <row r="24" spans="1:10">
      <c r="A24" s="19"/>
      <c r="B24" s="19"/>
      <c r="C24" s="19"/>
      <c r="D24" s="19"/>
      <c r="E24" s="19"/>
      <c r="F24" s="19"/>
      <c r="G24" s="19"/>
      <c r="H24" s="19"/>
      <c r="I24" s="19"/>
    </row>
    <row r="25" spans="1:10">
      <c r="A25" s="224" t="s">
        <v>23</v>
      </c>
      <c r="B25" s="224"/>
      <c r="C25" s="224"/>
      <c r="D25" s="224"/>
      <c r="E25" s="224"/>
      <c r="F25" s="224"/>
      <c r="G25" s="224"/>
      <c r="H25" s="224"/>
      <c r="I25" s="224"/>
    </row>
    <row r="26" spans="1:10" ht="30">
      <c r="A26" s="29">
        <v>1</v>
      </c>
      <c r="B26" s="255" t="s">
        <v>24</v>
      </c>
      <c r="C26" s="256"/>
      <c r="D26" s="256"/>
      <c r="E26" s="256"/>
      <c r="F26" s="257"/>
      <c r="G26" s="30" t="s">
        <v>25</v>
      </c>
      <c r="H26" s="31" t="s">
        <v>26</v>
      </c>
      <c r="I26" s="32" t="s">
        <v>27</v>
      </c>
      <c r="J26" s="33" t="s">
        <v>28</v>
      </c>
    </row>
    <row r="27" spans="1:10" ht="90">
      <c r="A27" s="29" t="s">
        <v>8</v>
      </c>
      <c r="B27" s="255" t="s">
        <v>29</v>
      </c>
      <c r="C27" s="256"/>
      <c r="D27" s="256"/>
      <c r="E27" s="256"/>
      <c r="F27" s="257"/>
      <c r="G27" s="30">
        <v>1</v>
      </c>
      <c r="H27" s="34">
        <f>(1192.62*30%)+1192.62</f>
        <v>1550.4059999999999</v>
      </c>
      <c r="I27" s="213">
        <f>H27</f>
        <v>1550.4059999999999</v>
      </c>
      <c r="J27" s="33" t="s">
        <v>247</v>
      </c>
    </row>
    <row r="28" spans="1:10" ht="75">
      <c r="A28" s="29" t="s">
        <v>10</v>
      </c>
      <c r="B28" s="255" t="s">
        <v>200</v>
      </c>
      <c r="C28" s="256"/>
      <c r="D28" s="256"/>
      <c r="E28" s="256"/>
      <c r="F28" s="257"/>
      <c r="G28" s="30">
        <v>1</v>
      </c>
      <c r="H28" s="36">
        <v>0.4</v>
      </c>
      <c r="I28" s="35">
        <f>I27*H28</f>
        <v>620.16240000000005</v>
      </c>
      <c r="J28" s="33" t="s">
        <v>221</v>
      </c>
    </row>
    <row r="29" spans="1:10" ht="90">
      <c r="A29" s="197"/>
      <c r="B29" s="198" t="s">
        <v>201</v>
      </c>
      <c r="C29" s="199"/>
      <c r="D29" s="199"/>
      <c r="E29" s="199"/>
      <c r="F29" s="200"/>
      <c r="G29" s="201"/>
      <c r="H29" s="202">
        <v>0</v>
      </c>
      <c r="I29" s="203"/>
      <c r="J29" s="143" t="s">
        <v>248</v>
      </c>
    </row>
    <row r="30" spans="1:10">
      <c r="A30" s="29" t="s">
        <v>30</v>
      </c>
      <c r="B30" s="255" t="s">
        <v>31</v>
      </c>
      <c r="C30" s="256"/>
      <c r="D30" s="256"/>
      <c r="E30" s="256"/>
      <c r="F30" s="257"/>
      <c r="G30" s="30"/>
      <c r="H30" s="37"/>
      <c r="I30" s="35">
        <f>SUM(I27:I28)</f>
        <v>2170.5684000000001</v>
      </c>
      <c r="J30" s="38"/>
    </row>
    <row r="31" spans="1:10">
      <c r="I31" s="39"/>
    </row>
    <row r="32" spans="1:10">
      <c r="A32" s="224" t="s">
        <v>32</v>
      </c>
      <c r="B32" s="224"/>
      <c r="C32" s="224"/>
      <c r="D32" s="224"/>
      <c r="E32" s="224"/>
      <c r="F32" s="224"/>
      <c r="G32" s="224"/>
      <c r="H32" s="224"/>
      <c r="I32" s="224"/>
    </row>
    <row r="33" spans="1:10">
      <c r="A33" s="20"/>
      <c r="B33" s="20"/>
      <c r="C33" s="20"/>
      <c r="D33" s="20"/>
      <c r="E33" s="20"/>
      <c r="F33" s="20"/>
      <c r="G33" s="20"/>
      <c r="H33" s="20"/>
      <c r="I33" s="20"/>
    </row>
    <row r="34" spans="1:10" ht="36.75">
      <c r="A34" s="29">
        <v>2</v>
      </c>
      <c r="B34" s="237" t="s">
        <v>33</v>
      </c>
      <c r="C34" s="252"/>
      <c r="D34" s="252"/>
      <c r="E34" s="252"/>
      <c r="F34" s="236"/>
      <c r="G34" s="29" t="s">
        <v>25</v>
      </c>
      <c r="H34" s="40" t="s">
        <v>34</v>
      </c>
      <c r="I34" s="40" t="s">
        <v>27</v>
      </c>
      <c r="J34" s="41" t="s">
        <v>35</v>
      </c>
    </row>
    <row r="35" spans="1:10" ht="60">
      <c r="A35" s="25" t="s">
        <v>8</v>
      </c>
      <c r="B35" s="231" t="s">
        <v>36</v>
      </c>
      <c r="C35" s="250"/>
      <c r="D35" s="250"/>
      <c r="E35" s="250"/>
      <c r="F35" s="251"/>
      <c r="G35" s="42">
        <v>44</v>
      </c>
      <c r="H35" s="43">
        <v>3.3</v>
      </c>
      <c r="I35" s="44">
        <f>G35*H35-(I27*6%)</f>
        <v>52.175640000000001</v>
      </c>
      <c r="J35" s="33" t="s">
        <v>37</v>
      </c>
    </row>
    <row r="36" spans="1:10" ht="105">
      <c r="A36" s="25" t="s">
        <v>10</v>
      </c>
      <c r="B36" s="231" t="s">
        <v>220</v>
      </c>
      <c r="C36" s="250"/>
      <c r="D36" s="250"/>
      <c r="E36" s="250"/>
      <c r="F36" s="251"/>
      <c r="G36" s="45">
        <v>1</v>
      </c>
      <c r="H36" s="43"/>
      <c r="I36" s="44">
        <v>3.68</v>
      </c>
      <c r="J36" s="46" t="s">
        <v>249</v>
      </c>
    </row>
    <row r="37" spans="1:10">
      <c r="A37" s="25"/>
      <c r="B37" s="237" t="s">
        <v>40</v>
      </c>
      <c r="C37" s="252"/>
      <c r="D37" s="252"/>
      <c r="E37" s="252"/>
      <c r="F37" s="252"/>
      <c r="G37" s="236"/>
      <c r="H37" s="43"/>
      <c r="I37" s="48">
        <f>SUM(I35:I36)</f>
        <v>55.855640000000001</v>
      </c>
      <c r="J37" s="33"/>
    </row>
    <row r="38" spans="1:10">
      <c r="A38" s="253" t="s">
        <v>41</v>
      </c>
      <c r="B38" s="254"/>
      <c r="C38" s="254"/>
      <c r="D38" s="254"/>
      <c r="E38" s="254"/>
      <c r="F38" s="254"/>
      <c r="G38" s="254"/>
      <c r="H38" s="254"/>
      <c r="I38" s="254"/>
    </row>
    <row r="39" spans="1:10">
      <c r="A39" s="20"/>
      <c r="B39" s="49"/>
      <c r="C39" s="49"/>
      <c r="D39" s="49"/>
      <c r="E39" s="49"/>
      <c r="F39" s="49"/>
      <c r="G39" s="49"/>
      <c r="H39" s="49"/>
      <c r="I39" s="49"/>
    </row>
    <row r="40" spans="1:10" ht="36.75">
      <c r="A40" s="29">
        <v>3</v>
      </c>
      <c r="B40" s="237" t="s">
        <v>42</v>
      </c>
      <c r="C40" s="252"/>
      <c r="D40" s="252"/>
      <c r="E40" s="252"/>
      <c r="F40" s="236"/>
      <c r="G40" s="29" t="s">
        <v>25</v>
      </c>
      <c r="H40" s="40" t="s">
        <v>34</v>
      </c>
      <c r="I40" s="50" t="s">
        <v>27</v>
      </c>
      <c r="J40" s="41" t="s">
        <v>43</v>
      </c>
    </row>
    <row r="41" spans="1:10" ht="45">
      <c r="A41" s="25" t="s">
        <v>8</v>
      </c>
      <c r="B41" s="231" t="s">
        <v>241</v>
      </c>
      <c r="C41" s="250"/>
      <c r="D41" s="250"/>
      <c r="E41" s="250"/>
      <c r="F41" s="251"/>
      <c r="G41" s="42">
        <v>1</v>
      </c>
      <c r="H41" s="51">
        <f>Insumos!$S$34</f>
        <v>87.825694444444451</v>
      </c>
      <c r="I41" s="52">
        <f>H41</f>
        <v>87.825694444444451</v>
      </c>
      <c r="J41" s="33" t="s">
        <v>44</v>
      </c>
    </row>
    <row r="42" spans="1:10" ht="45">
      <c r="A42" s="207"/>
      <c r="B42" s="208" t="s">
        <v>242</v>
      </c>
      <c r="C42" s="209"/>
      <c r="D42" s="209"/>
      <c r="E42" s="209"/>
      <c r="F42" s="209"/>
      <c r="G42" s="210"/>
      <c r="H42" s="211"/>
      <c r="I42" s="212">
        <f>EPI!$M$4</f>
        <v>13.609999999999998</v>
      </c>
      <c r="J42" s="143" t="s">
        <v>250</v>
      </c>
    </row>
    <row r="43" spans="1:10" ht="285">
      <c r="A43" s="25" t="s">
        <v>10</v>
      </c>
      <c r="B43" s="26" t="s">
        <v>45</v>
      </c>
      <c r="C43" s="53"/>
      <c r="D43" s="53"/>
      <c r="E43" s="53"/>
      <c r="F43" s="53"/>
      <c r="G43" s="42">
        <v>1</v>
      </c>
      <c r="H43" s="51">
        <v>10.56</v>
      </c>
      <c r="I43" s="52">
        <f>G43*H43</f>
        <v>10.56</v>
      </c>
      <c r="J43" s="33" t="s">
        <v>219</v>
      </c>
    </row>
    <row r="44" spans="1:10">
      <c r="A44" s="25"/>
      <c r="B44" s="263" t="s">
        <v>46</v>
      </c>
      <c r="C44" s="250"/>
      <c r="D44" s="250"/>
      <c r="E44" s="250"/>
      <c r="F44" s="250"/>
      <c r="G44" s="251"/>
      <c r="H44" s="43">
        <f>SUM(H41:H43)</f>
        <v>98.385694444444454</v>
      </c>
      <c r="I44" s="54">
        <f>SUM(I41:I43)</f>
        <v>111.99569444444445</v>
      </c>
      <c r="J44" s="38"/>
    </row>
    <row r="45" spans="1:10">
      <c r="A45" s="20"/>
      <c r="B45" s="20"/>
      <c r="C45" s="20"/>
      <c r="D45" s="20"/>
      <c r="E45" s="20"/>
      <c r="F45" s="20"/>
      <c r="G45" s="20"/>
      <c r="H45" s="20"/>
      <c r="I45" s="55"/>
    </row>
    <row r="46" spans="1:10">
      <c r="A46" s="224" t="s">
        <v>47</v>
      </c>
      <c r="B46" s="224"/>
      <c r="C46" s="224"/>
      <c r="D46" s="224"/>
      <c r="E46" s="224"/>
      <c r="F46" s="224"/>
      <c r="G46" s="224"/>
      <c r="H46" s="224"/>
      <c r="I46" s="224"/>
    </row>
    <row r="47" spans="1:10">
      <c r="A47" s="20"/>
      <c r="B47" s="20"/>
      <c r="C47" s="20"/>
      <c r="D47" s="20"/>
      <c r="E47" s="20"/>
      <c r="F47" s="20"/>
      <c r="G47" s="20"/>
      <c r="H47" s="20"/>
      <c r="I47" s="20"/>
    </row>
    <row r="48" spans="1:10">
      <c r="A48" s="224" t="s">
        <v>48</v>
      </c>
      <c r="B48" s="224"/>
      <c r="C48" s="224"/>
      <c r="D48" s="224"/>
      <c r="E48" s="224"/>
      <c r="F48" s="224"/>
      <c r="G48" s="224"/>
      <c r="H48" s="224"/>
      <c r="I48" s="224"/>
    </row>
    <row r="49" spans="1:10">
      <c r="A49" s="56"/>
      <c r="B49" s="56"/>
      <c r="C49" s="56"/>
      <c r="D49" s="56"/>
      <c r="E49" s="56"/>
      <c r="F49" s="56"/>
      <c r="G49" s="56"/>
      <c r="H49" s="56"/>
      <c r="I49" s="56"/>
    </row>
    <row r="50" spans="1:10" ht="36.75">
      <c r="A50" s="57" t="s">
        <v>49</v>
      </c>
      <c r="B50" s="264" t="s">
        <v>50</v>
      </c>
      <c r="C50" s="265"/>
      <c r="D50" s="265"/>
      <c r="E50" s="265"/>
      <c r="F50" s="265"/>
      <c r="G50" s="266"/>
      <c r="H50" s="58" t="s">
        <v>51</v>
      </c>
      <c r="I50" s="59" t="s">
        <v>27</v>
      </c>
      <c r="J50" s="41" t="s">
        <v>52</v>
      </c>
    </row>
    <row r="51" spans="1:10">
      <c r="A51" s="25" t="s">
        <v>8</v>
      </c>
      <c r="B51" s="261" t="s">
        <v>53</v>
      </c>
      <c r="C51" s="261"/>
      <c r="D51" s="261"/>
      <c r="E51" s="261"/>
      <c r="F51" s="261"/>
      <c r="G51" s="261"/>
      <c r="H51" s="60">
        <v>0.2</v>
      </c>
      <c r="I51" s="61">
        <f>$I$30*H51</f>
        <v>434.11368000000004</v>
      </c>
      <c r="J51" s="62" t="s">
        <v>54</v>
      </c>
    </row>
    <row r="52" spans="1:10" ht="30">
      <c r="A52" s="63" t="s">
        <v>10</v>
      </c>
      <c r="B52" s="262" t="s">
        <v>55</v>
      </c>
      <c r="C52" s="262"/>
      <c r="D52" s="262"/>
      <c r="E52" s="262"/>
      <c r="F52" s="262"/>
      <c r="G52" s="262"/>
      <c r="H52" s="60">
        <v>1.4999999999999999E-2</v>
      </c>
      <c r="I52" s="61">
        <f>$I$30*H52</f>
        <v>32.558526000000001</v>
      </c>
      <c r="J52" s="64" t="s">
        <v>56</v>
      </c>
    </row>
    <row r="53" spans="1:10" ht="30">
      <c r="A53" s="63" t="s">
        <v>12</v>
      </c>
      <c r="B53" s="262" t="s">
        <v>57</v>
      </c>
      <c r="C53" s="262"/>
      <c r="D53" s="262"/>
      <c r="E53" s="262"/>
      <c r="F53" s="262"/>
      <c r="G53" s="262"/>
      <c r="H53" s="60">
        <v>0.01</v>
      </c>
      <c r="I53" s="61">
        <f t="shared" ref="I53:I58" si="0">ROUND(H53*$I$30,2)</f>
        <v>21.71</v>
      </c>
      <c r="J53" s="62" t="s">
        <v>58</v>
      </c>
    </row>
    <row r="54" spans="1:10" ht="30">
      <c r="A54" s="63" t="s">
        <v>14</v>
      </c>
      <c r="B54" s="262" t="s">
        <v>59</v>
      </c>
      <c r="C54" s="262"/>
      <c r="D54" s="262"/>
      <c r="E54" s="262"/>
      <c r="F54" s="262"/>
      <c r="G54" s="262"/>
      <c r="H54" s="60">
        <v>2E-3</v>
      </c>
      <c r="I54" s="61">
        <f t="shared" si="0"/>
        <v>4.34</v>
      </c>
      <c r="J54" s="62" t="s">
        <v>60</v>
      </c>
    </row>
    <row r="55" spans="1:10" ht="30">
      <c r="A55" s="63" t="s">
        <v>38</v>
      </c>
      <c r="B55" s="262" t="s">
        <v>61</v>
      </c>
      <c r="C55" s="262"/>
      <c r="D55" s="262"/>
      <c r="E55" s="262"/>
      <c r="F55" s="262"/>
      <c r="G55" s="262"/>
      <c r="H55" s="60">
        <v>2.5000000000000001E-2</v>
      </c>
      <c r="I55" s="61">
        <f t="shared" si="0"/>
        <v>54.26</v>
      </c>
      <c r="J55" s="62" t="s">
        <v>62</v>
      </c>
    </row>
    <row r="56" spans="1:10" ht="30">
      <c r="A56" s="63" t="s">
        <v>39</v>
      </c>
      <c r="B56" s="262" t="s">
        <v>63</v>
      </c>
      <c r="C56" s="262"/>
      <c r="D56" s="262"/>
      <c r="E56" s="262"/>
      <c r="F56" s="262"/>
      <c r="G56" s="262"/>
      <c r="H56" s="60">
        <v>0.08</v>
      </c>
      <c r="I56" s="61">
        <f t="shared" si="0"/>
        <v>173.65</v>
      </c>
      <c r="J56" s="62" t="s">
        <v>64</v>
      </c>
    </row>
    <row r="57" spans="1:10" ht="30">
      <c r="A57" s="63" t="s">
        <v>65</v>
      </c>
      <c r="B57" s="262" t="s">
        <v>66</v>
      </c>
      <c r="C57" s="262"/>
      <c r="D57" s="262"/>
      <c r="E57" s="262"/>
      <c r="F57" s="262"/>
      <c r="G57" s="262"/>
      <c r="H57" s="60">
        <v>0.03</v>
      </c>
      <c r="I57" s="61">
        <f t="shared" si="0"/>
        <v>65.12</v>
      </c>
      <c r="J57" s="62" t="s">
        <v>67</v>
      </c>
    </row>
    <row r="58" spans="1:10" ht="15.75" thickBot="1">
      <c r="A58" s="65" t="s">
        <v>30</v>
      </c>
      <c r="B58" s="279" t="s">
        <v>68</v>
      </c>
      <c r="C58" s="279"/>
      <c r="D58" s="279"/>
      <c r="E58" s="279"/>
      <c r="F58" s="279"/>
      <c r="G58" s="279"/>
      <c r="H58" s="66">
        <v>6.0000000000000001E-3</v>
      </c>
      <c r="I58" s="67">
        <f t="shared" si="0"/>
        <v>13.02</v>
      </c>
      <c r="J58" s="68" t="s">
        <v>69</v>
      </c>
    </row>
    <row r="59" spans="1:10" ht="15.75" thickBot="1">
      <c r="A59" s="280" t="s">
        <v>70</v>
      </c>
      <c r="B59" s="281"/>
      <c r="C59" s="281"/>
      <c r="D59" s="281"/>
      <c r="E59" s="281"/>
      <c r="F59" s="281"/>
      <c r="G59" s="282"/>
      <c r="H59" s="69">
        <f>SUM(H51:H58)</f>
        <v>0.3680000000000001</v>
      </c>
      <c r="I59" s="70">
        <f>SUM(I51:I58)</f>
        <v>798.77220599999998</v>
      </c>
      <c r="J59" s="68"/>
    </row>
    <row r="60" spans="1:10">
      <c r="A60" s="224" t="s">
        <v>71</v>
      </c>
      <c r="B60" s="283"/>
      <c r="C60" s="283"/>
      <c r="D60" s="283"/>
      <c r="E60" s="283"/>
      <c r="F60" s="283"/>
      <c r="G60" s="283"/>
      <c r="H60" s="283"/>
      <c r="I60" s="283"/>
    </row>
    <row r="61" spans="1:10">
      <c r="A61" s="224" t="s">
        <v>72</v>
      </c>
      <c r="B61" s="283"/>
      <c r="C61" s="283"/>
      <c r="D61" s="283"/>
      <c r="E61" s="283"/>
      <c r="F61" s="283"/>
      <c r="G61" s="283"/>
      <c r="H61" s="283"/>
      <c r="I61" s="283"/>
    </row>
    <row r="63" spans="1:10">
      <c r="A63" s="224" t="s">
        <v>73</v>
      </c>
      <c r="B63" s="224"/>
      <c r="C63" s="224"/>
      <c r="D63" s="224"/>
      <c r="E63" s="224"/>
      <c r="F63" s="224"/>
      <c r="G63" s="224"/>
      <c r="H63" s="224"/>
      <c r="I63" s="224"/>
    </row>
    <row r="64" spans="1:10">
      <c r="A64" s="56"/>
      <c r="B64" s="56"/>
      <c r="C64" s="56"/>
      <c r="D64" s="56"/>
      <c r="E64" s="56"/>
      <c r="F64" s="56"/>
      <c r="G64" s="56"/>
      <c r="H64" s="56"/>
      <c r="I64" s="56"/>
    </row>
    <row r="65" spans="1:10" ht="36.75">
      <c r="A65" s="71" t="s">
        <v>74</v>
      </c>
      <c r="B65" s="267" t="s">
        <v>75</v>
      </c>
      <c r="C65" s="268"/>
      <c r="D65" s="268"/>
      <c r="E65" s="268"/>
      <c r="F65" s="268"/>
      <c r="G65" s="268"/>
      <c r="H65" s="72" t="s">
        <v>51</v>
      </c>
      <c r="I65" s="73" t="s">
        <v>27</v>
      </c>
      <c r="J65" s="74" t="s">
        <v>76</v>
      </c>
    </row>
    <row r="66" spans="1:10" ht="115.5">
      <c r="A66" s="75" t="s">
        <v>8</v>
      </c>
      <c r="B66" s="269" t="s">
        <v>77</v>
      </c>
      <c r="C66" s="269"/>
      <c r="D66" s="269"/>
      <c r="E66" s="269"/>
      <c r="F66" s="269"/>
      <c r="G66" s="270"/>
      <c r="H66" s="76">
        <v>8.9300000000000004E-2</v>
      </c>
      <c r="I66" s="77">
        <f>ROUND(H66*$I$30,2)</f>
        <v>193.83</v>
      </c>
      <c r="J66" s="78" t="s">
        <v>78</v>
      </c>
    </row>
    <row r="67" spans="1:10">
      <c r="A67" s="271" t="s">
        <v>79</v>
      </c>
      <c r="B67" s="272"/>
      <c r="C67" s="272"/>
      <c r="D67" s="272"/>
      <c r="E67" s="272"/>
      <c r="F67" s="272"/>
      <c r="G67" s="272"/>
      <c r="H67" s="76">
        <f>SUM(H66:H66)</f>
        <v>8.9300000000000004E-2</v>
      </c>
      <c r="I67" s="77">
        <f>SUM(I66:I66)</f>
        <v>193.83</v>
      </c>
      <c r="J67" s="68"/>
    </row>
    <row r="68" spans="1:10" ht="15.75" thickBot="1">
      <c r="A68" s="79" t="s">
        <v>10</v>
      </c>
      <c r="B68" s="273" t="s">
        <v>80</v>
      </c>
      <c r="C68" s="273"/>
      <c r="D68" s="273"/>
      <c r="E68" s="273"/>
      <c r="F68" s="273"/>
      <c r="G68" s="274"/>
      <c r="H68" s="80">
        <f>ROUND(H59*H67,4)</f>
        <v>3.2899999999999999E-2</v>
      </c>
      <c r="I68" s="81">
        <f>ROUND(H68*$I$30,2)</f>
        <v>71.41</v>
      </c>
      <c r="J68" s="68" t="s">
        <v>81</v>
      </c>
    </row>
    <row r="69" spans="1:10" ht="15.75" thickBot="1">
      <c r="A69" s="275" t="s">
        <v>70</v>
      </c>
      <c r="B69" s="276"/>
      <c r="C69" s="276"/>
      <c r="D69" s="276"/>
      <c r="E69" s="276"/>
      <c r="F69" s="276"/>
      <c r="G69" s="277"/>
      <c r="H69" s="82">
        <f>H67+H68</f>
        <v>0.1222</v>
      </c>
      <c r="I69" s="83">
        <f>I68+I67</f>
        <v>265.24</v>
      </c>
      <c r="J69" s="33"/>
    </row>
    <row r="70" spans="1:10">
      <c r="A70" s="84"/>
      <c r="B70" s="84"/>
      <c r="C70" s="84"/>
      <c r="D70" s="84"/>
      <c r="E70" s="84"/>
      <c r="F70" s="84"/>
      <c r="G70" s="84"/>
      <c r="H70" s="85"/>
      <c r="I70" s="85"/>
    </row>
    <row r="71" spans="1:10">
      <c r="A71" s="278" t="s">
        <v>82</v>
      </c>
      <c r="B71" s="278"/>
      <c r="C71" s="278"/>
      <c r="D71" s="278"/>
      <c r="E71" s="278"/>
      <c r="F71" s="278"/>
      <c r="G71" s="278"/>
      <c r="H71" s="278"/>
      <c r="I71" s="278"/>
    </row>
    <row r="72" spans="1:10">
      <c r="A72" s="84"/>
      <c r="B72" s="84"/>
      <c r="C72" s="84"/>
      <c r="D72" s="84"/>
      <c r="E72" s="84"/>
      <c r="F72" s="84"/>
      <c r="G72" s="84"/>
      <c r="H72" s="85"/>
      <c r="I72" s="85"/>
    </row>
    <row r="73" spans="1:10" ht="36.75">
      <c r="A73" s="50" t="s">
        <v>83</v>
      </c>
      <c r="B73" s="294" t="s">
        <v>84</v>
      </c>
      <c r="C73" s="294"/>
      <c r="D73" s="294"/>
      <c r="E73" s="294"/>
      <c r="F73" s="294"/>
      <c r="G73" s="294"/>
      <c r="H73" s="50" t="s">
        <v>51</v>
      </c>
      <c r="I73" s="73" t="s">
        <v>27</v>
      </c>
      <c r="J73" s="41" t="s">
        <v>85</v>
      </c>
    </row>
    <row r="74" spans="1:10" ht="60">
      <c r="A74" s="47" t="s">
        <v>8</v>
      </c>
      <c r="B74" s="295" t="s">
        <v>86</v>
      </c>
      <c r="C74" s="296"/>
      <c r="D74" s="296"/>
      <c r="E74" s="296"/>
      <c r="F74" s="296"/>
      <c r="G74" s="297"/>
      <c r="H74" s="86">
        <f>ROUND((((((5/56)+((1/3)*(5/56))+(5/56)))*0.01)*(4/12)),4)</f>
        <v>6.9999999999999999E-4</v>
      </c>
      <c r="I74" s="87">
        <f>ROUND(H74*$I$30,2)</f>
        <v>1.52</v>
      </c>
      <c r="J74" s="88" t="s">
        <v>87</v>
      </c>
    </row>
    <row r="75" spans="1:10" ht="15.75" thickBot="1">
      <c r="A75" s="89" t="s">
        <v>10</v>
      </c>
      <c r="B75" s="298" t="s">
        <v>88</v>
      </c>
      <c r="C75" s="299"/>
      <c r="D75" s="299"/>
      <c r="E75" s="299"/>
      <c r="F75" s="299"/>
      <c r="G75" s="300"/>
      <c r="H75" s="86">
        <f>ROUND(H59*H74,4)</f>
        <v>2.9999999999999997E-4</v>
      </c>
      <c r="I75" s="87">
        <f>ROUND(H75*$I$30,2)</f>
        <v>0.65</v>
      </c>
      <c r="J75" s="88"/>
    </row>
    <row r="76" spans="1:10" ht="15.75" thickBot="1">
      <c r="A76" s="275" t="s">
        <v>70</v>
      </c>
      <c r="B76" s="276"/>
      <c r="C76" s="276"/>
      <c r="D76" s="276"/>
      <c r="E76" s="276"/>
      <c r="F76" s="276"/>
      <c r="G76" s="277"/>
      <c r="H76" s="82">
        <f>SUM(H74:H75)</f>
        <v>1E-3</v>
      </c>
      <c r="I76" s="90">
        <f>SUM(I74:I75)</f>
        <v>2.17</v>
      </c>
      <c r="J76" s="88"/>
    </row>
    <row r="77" spans="1:10">
      <c r="A77" s="278"/>
      <c r="B77" s="278"/>
      <c r="C77" s="278"/>
      <c r="D77" s="278"/>
      <c r="E77" s="278"/>
      <c r="F77" s="278"/>
      <c r="G77" s="278"/>
      <c r="H77" s="278"/>
      <c r="I77" s="278"/>
    </row>
    <row r="78" spans="1:10">
      <c r="A78" s="278" t="s">
        <v>89</v>
      </c>
      <c r="B78" s="278"/>
      <c r="C78" s="278"/>
      <c r="D78" s="278"/>
      <c r="E78" s="278"/>
      <c r="F78" s="278"/>
      <c r="G78" s="278"/>
      <c r="H78" s="278"/>
      <c r="I78" s="278"/>
    </row>
    <row r="79" spans="1:10">
      <c r="A79" s="91"/>
      <c r="B79" s="91"/>
      <c r="C79" s="91"/>
      <c r="D79" s="91"/>
      <c r="E79" s="91"/>
      <c r="F79" s="91"/>
      <c r="G79" s="91"/>
      <c r="H79" s="91"/>
      <c r="I79" s="91"/>
    </row>
    <row r="80" spans="1:10" ht="60">
      <c r="A80" s="71" t="s">
        <v>90</v>
      </c>
      <c r="B80" s="267" t="s">
        <v>91</v>
      </c>
      <c r="C80" s="268"/>
      <c r="D80" s="268"/>
      <c r="E80" s="268"/>
      <c r="F80" s="268"/>
      <c r="G80" s="285"/>
      <c r="H80" s="92" t="s">
        <v>51</v>
      </c>
      <c r="I80" s="93" t="s">
        <v>27</v>
      </c>
      <c r="J80" s="88" t="s">
        <v>92</v>
      </c>
    </row>
    <row r="81" spans="1:10" ht="84.75">
      <c r="A81" s="89" t="s">
        <v>8</v>
      </c>
      <c r="B81" s="286" t="s">
        <v>93</v>
      </c>
      <c r="C81" s="286"/>
      <c r="D81" s="286"/>
      <c r="E81" s="286"/>
      <c r="F81" s="286"/>
      <c r="G81" s="286"/>
      <c r="H81" s="94">
        <f>ROUND((((30/365.25)/30.55)*12)*0.8*(1-0.234/30.55*12),4)</f>
        <v>2.3400000000000001E-2</v>
      </c>
      <c r="I81" s="87">
        <f>ROUND(H81*$I$30,2)</f>
        <v>50.79</v>
      </c>
      <c r="J81" s="95" t="s">
        <v>94</v>
      </c>
    </row>
    <row r="82" spans="1:10" ht="141">
      <c r="A82" s="89" t="s">
        <v>10</v>
      </c>
      <c r="B82" s="287" t="s">
        <v>95</v>
      </c>
      <c r="C82" s="288"/>
      <c r="D82" s="288"/>
      <c r="E82" s="288"/>
      <c r="F82" s="288"/>
      <c r="G82" s="289"/>
      <c r="H82" s="94">
        <f>ROUND(((6/730.5)*0.05),4)</f>
        <v>4.0000000000000002E-4</v>
      </c>
      <c r="I82" s="87">
        <f>ROUND(H82*$I$30,2)</f>
        <v>0.87</v>
      </c>
      <c r="J82" s="96" t="s">
        <v>169</v>
      </c>
    </row>
    <row r="83" spans="1:10" ht="75">
      <c r="A83" s="89" t="s">
        <v>12</v>
      </c>
      <c r="B83" s="290" t="s">
        <v>96</v>
      </c>
      <c r="C83" s="290"/>
      <c r="D83" s="290"/>
      <c r="E83" s="290"/>
      <c r="F83" s="290"/>
      <c r="G83" s="290"/>
      <c r="H83" s="94">
        <f>ROUND(H56*(H81+H82),4)</f>
        <v>1.9E-3</v>
      </c>
      <c r="I83" s="87">
        <f t="shared" ref="I83:I88" si="1">ROUND(H83*$I$30,2)</f>
        <v>4.12</v>
      </c>
      <c r="J83" s="88" t="s">
        <v>97</v>
      </c>
    </row>
    <row r="84" spans="1:10" ht="75">
      <c r="A84" s="89" t="s">
        <v>14</v>
      </c>
      <c r="B84" s="291" t="s">
        <v>98</v>
      </c>
      <c r="C84" s="292"/>
      <c r="D84" s="292"/>
      <c r="E84" s="292"/>
      <c r="F84" s="292"/>
      <c r="G84" s="293"/>
      <c r="H84" s="94">
        <f>ROUND((1/12)*0.02,4)</f>
        <v>1.6999999999999999E-3</v>
      </c>
      <c r="I84" s="87">
        <f t="shared" si="1"/>
        <v>3.69</v>
      </c>
      <c r="J84" s="88" t="s">
        <v>99</v>
      </c>
    </row>
    <row r="85" spans="1:10" ht="150">
      <c r="A85" s="89" t="s">
        <v>38</v>
      </c>
      <c r="B85" s="286" t="s">
        <v>100</v>
      </c>
      <c r="C85" s="286"/>
      <c r="D85" s="286"/>
      <c r="E85" s="286"/>
      <c r="F85" s="286"/>
      <c r="G85" s="286"/>
      <c r="H85" s="94">
        <f>0.08*0.5*0.9*(1+5/56+5/56+1/3*5/56)</f>
        <v>4.3499999999999997E-2</v>
      </c>
      <c r="I85" s="87">
        <f t="shared" si="1"/>
        <v>94.42</v>
      </c>
      <c r="J85" s="97" t="s">
        <v>101</v>
      </c>
    </row>
    <row r="86" spans="1:10" ht="115.5">
      <c r="A86" s="89" t="s">
        <v>39</v>
      </c>
      <c r="B86" s="286" t="s">
        <v>102</v>
      </c>
      <c r="C86" s="286"/>
      <c r="D86" s="286"/>
      <c r="E86" s="286"/>
      <c r="F86" s="286"/>
      <c r="G86" s="286"/>
      <c r="H86" s="94">
        <f>ROUND(((((7/30)/12)/30.55)*12)*0.2*(1-0.234/30.55*12),4)</f>
        <v>1.4E-3</v>
      </c>
      <c r="I86" s="87">
        <f t="shared" si="1"/>
        <v>3.04</v>
      </c>
      <c r="J86" s="98" t="s">
        <v>103</v>
      </c>
    </row>
    <row r="87" spans="1:10" ht="15.75" thickBot="1">
      <c r="A87" s="89" t="s">
        <v>65</v>
      </c>
      <c r="B87" s="286" t="s">
        <v>104</v>
      </c>
      <c r="C87" s="286"/>
      <c r="D87" s="286"/>
      <c r="E87" s="286"/>
      <c r="F87" s="286"/>
      <c r="G87" s="286"/>
      <c r="H87" s="94">
        <f>ROUND(H59*H86,4)</f>
        <v>5.0000000000000001E-4</v>
      </c>
      <c r="I87" s="87">
        <f t="shared" si="1"/>
        <v>1.0900000000000001</v>
      </c>
      <c r="J87" s="97"/>
    </row>
    <row r="88" spans="1:10" ht="15.75" thickBot="1">
      <c r="A88" s="275" t="s">
        <v>70</v>
      </c>
      <c r="B88" s="276"/>
      <c r="C88" s="276"/>
      <c r="D88" s="276"/>
      <c r="E88" s="276"/>
      <c r="F88" s="276"/>
      <c r="G88" s="277"/>
      <c r="H88" s="82">
        <f>SUM(H81:H87)</f>
        <v>7.279999999999999E-2</v>
      </c>
      <c r="I88" s="99">
        <f t="shared" si="1"/>
        <v>158.02000000000001</v>
      </c>
      <c r="J88" s="88"/>
    </row>
    <row r="89" spans="1:10">
      <c r="A89" s="84"/>
      <c r="B89" s="306"/>
      <c r="C89" s="306"/>
      <c r="D89" s="306"/>
      <c r="E89" s="306"/>
      <c r="F89" s="306"/>
      <c r="G89" s="306"/>
      <c r="H89" s="284"/>
      <c r="I89" s="278"/>
    </row>
    <row r="90" spans="1:10">
      <c r="A90" s="278" t="s">
        <v>105</v>
      </c>
      <c r="B90" s="278"/>
      <c r="C90" s="278"/>
      <c r="D90" s="278"/>
      <c r="E90" s="278"/>
      <c r="F90" s="278"/>
      <c r="G90" s="278"/>
      <c r="H90" s="85"/>
      <c r="I90" s="85"/>
    </row>
    <row r="91" spans="1:10">
      <c r="A91" s="84"/>
      <c r="B91" s="100"/>
      <c r="C91" s="100"/>
      <c r="D91" s="100"/>
      <c r="E91" s="100"/>
      <c r="F91" s="100"/>
      <c r="G91" s="100"/>
      <c r="H91" s="101"/>
      <c r="I91" s="102"/>
    </row>
    <row r="92" spans="1:10" ht="51">
      <c r="A92" s="103" t="s">
        <v>106</v>
      </c>
      <c r="B92" s="301" t="s">
        <v>107</v>
      </c>
      <c r="C92" s="302"/>
      <c r="D92" s="302"/>
      <c r="E92" s="302"/>
      <c r="F92" s="302"/>
      <c r="G92" s="302"/>
      <c r="H92" s="92" t="s">
        <v>51</v>
      </c>
      <c r="I92" s="93" t="s">
        <v>27</v>
      </c>
      <c r="J92" s="104" t="s">
        <v>108</v>
      </c>
    </row>
    <row r="93" spans="1:10" ht="51.75">
      <c r="A93" s="105" t="s">
        <v>8</v>
      </c>
      <c r="B93" s="303" t="s">
        <v>109</v>
      </c>
      <c r="C93" s="304"/>
      <c r="D93" s="304"/>
      <c r="E93" s="304"/>
      <c r="F93" s="304"/>
      <c r="G93" s="305"/>
      <c r="H93" s="86">
        <f>8.93%+2.98%</f>
        <v>0.11909999999999998</v>
      </c>
      <c r="I93" s="87">
        <f t="shared" ref="I93:I97" si="2">ROUND(H93*$I$30,2)</f>
        <v>258.51</v>
      </c>
      <c r="J93" s="98" t="s">
        <v>110</v>
      </c>
    </row>
    <row r="94" spans="1:10" ht="24.75">
      <c r="A94" s="105" t="s">
        <v>10</v>
      </c>
      <c r="B94" s="303" t="s">
        <v>111</v>
      </c>
      <c r="C94" s="304"/>
      <c r="D94" s="304"/>
      <c r="E94" s="304"/>
      <c r="F94" s="304"/>
      <c r="G94" s="305"/>
      <c r="H94" s="86">
        <f>ROUND((5.96/30*1/12),4)</f>
        <v>1.66E-2</v>
      </c>
      <c r="I94" s="87">
        <f t="shared" si="2"/>
        <v>36.03</v>
      </c>
      <c r="J94" s="106" t="s">
        <v>112</v>
      </c>
    </row>
    <row r="95" spans="1:10" ht="24.75">
      <c r="A95" s="105" t="s">
        <v>12</v>
      </c>
      <c r="B95" s="303" t="s">
        <v>113</v>
      </c>
      <c r="C95" s="304"/>
      <c r="D95" s="304"/>
      <c r="E95" s="304"/>
      <c r="F95" s="304"/>
      <c r="G95" s="305"/>
      <c r="H95" s="86">
        <v>2.0000000000000001E-4</v>
      </c>
      <c r="I95" s="87">
        <f t="shared" si="2"/>
        <v>0.43</v>
      </c>
      <c r="J95" s="106" t="s">
        <v>114</v>
      </c>
    </row>
    <row r="96" spans="1:10" ht="51.75">
      <c r="A96" s="105" t="s">
        <v>14</v>
      </c>
      <c r="B96" s="303" t="s">
        <v>115</v>
      </c>
      <c r="C96" s="304"/>
      <c r="D96" s="304"/>
      <c r="E96" s="304"/>
      <c r="F96" s="304"/>
      <c r="G96" s="305"/>
      <c r="H96" s="86">
        <f>ROUND(2.96/30*1/12,4)</f>
        <v>8.2000000000000007E-3</v>
      </c>
      <c r="I96" s="87">
        <f t="shared" si="2"/>
        <v>17.8</v>
      </c>
      <c r="J96" s="98" t="s">
        <v>116</v>
      </c>
    </row>
    <row r="97" spans="1:10" ht="48.75">
      <c r="A97" s="105" t="s">
        <v>38</v>
      </c>
      <c r="B97" s="303" t="s">
        <v>117</v>
      </c>
      <c r="C97" s="304"/>
      <c r="D97" s="304"/>
      <c r="E97" s="304"/>
      <c r="F97" s="304"/>
      <c r="G97" s="305"/>
      <c r="H97" s="86">
        <f>ROUND(((0.91/30)/12),4)</f>
        <v>2.5000000000000001E-3</v>
      </c>
      <c r="I97" s="87">
        <f t="shared" si="2"/>
        <v>5.43</v>
      </c>
      <c r="J97" s="106" t="s">
        <v>118</v>
      </c>
    </row>
    <row r="98" spans="1:10">
      <c r="A98" s="311" t="s">
        <v>79</v>
      </c>
      <c r="B98" s="312"/>
      <c r="C98" s="312"/>
      <c r="D98" s="312"/>
      <c r="E98" s="312"/>
      <c r="F98" s="312"/>
      <c r="G98" s="312"/>
      <c r="H98" s="107">
        <f>SUM(H93:H97)</f>
        <v>0.14660000000000001</v>
      </c>
      <c r="I98" s="108">
        <f>SUM(I93:I97)</f>
        <v>318.2</v>
      </c>
      <c r="J98" s="97"/>
    </row>
    <row r="99" spans="1:10" ht="15.75" thickBot="1">
      <c r="A99" s="109" t="s">
        <v>65</v>
      </c>
      <c r="B99" s="313" t="s">
        <v>119</v>
      </c>
      <c r="C99" s="313"/>
      <c r="D99" s="313"/>
      <c r="E99" s="313"/>
      <c r="F99" s="313"/>
      <c r="G99" s="314"/>
      <c r="H99" s="110">
        <f>ROUND(H59*H98,4)</f>
        <v>5.3900000000000003E-2</v>
      </c>
      <c r="I99" s="111">
        <f>ROUND(H99*$I$30,2)</f>
        <v>116.99</v>
      </c>
      <c r="J99" s="112" t="s">
        <v>120</v>
      </c>
    </row>
    <row r="100" spans="1:10" ht="15.75" thickBot="1">
      <c r="A100" s="275" t="s">
        <v>70</v>
      </c>
      <c r="B100" s="276"/>
      <c r="C100" s="276"/>
      <c r="D100" s="276"/>
      <c r="E100" s="276"/>
      <c r="F100" s="276"/>
      <c r="G100" s="277"/>
      <c r="H100" s="82">
        <f>H98+H99</f>
        <v>0.20050000000000001</v>
      </c>
      <c r="I100" s="83">
        <f>I98+I99</f>
        <v>435.19</v>
      </c>
      <c r="J100" s="113" t="s">
        <v>121</v>
      </c>
    </row>
    <row r="101" spans="1:10">
      <c r="A101" s="85"/>
      <c r="B101" s="85"/>
      <c r="C101" s="85"/>
      <c r="D101" s="85"/>
      <c r="E101" s="85"/>
      <c r="F101" s="85"/>
      <c r="G101" s="85"/>
      <c r="H101" s="85"/>
      <c r="I101" s="102"/>
    </row>
    <row r="102" spans="1:10">
      <c r="A102" s="278" t="s">
        <v>122</v>
      </c>
      <c r="B102" s="278"/>
      <c r="C102" s="278"/>
      <c r="D102" s="278"/>
      <c r="E102" s="278"/>
      <c r="F102" s="278"/>
      <c r="G102" s="278"/>
      <c r="H102" s="85"/>
      <c r="I102" s="85"/>
    </row>
    <row r="103" spans="1:10">
      <c r="A103" s="84"/>
      <c r="B103" s="100"/>
      <c r="C103" s="100"/>
      <c r="D103" s="100"/>
      <c r="E103" s="100"/>
      <c r="F103" s="100"/>
      <c r="G103" s="100"/>
      <c r="H103" s="101"/>
      <c r="I103" s="102"/>
    </row>
    <row r="104" spans="1:10" ht="45">
      <c r="A104" s="114">
        <v>4</v>
      </c>
      <c r="B104" s="315" t="s">
        <v>123</v>
      </c>
      <c r="C104" s="316"/>
      <c r="D104" s="316"/>
      <c r="E104" s="316"/>
      <c r="F104" s="316"/>
      <c r="G104" s="316"/>
      <c r="H104" s="50" t="s">
        <v>51</v>
      </c>
      <c r="I104" s="115" t="s">
        <v>27</v>
      </c>
      <c r="J104" s="116" t="s">
        <v>124</v>
      </c>
    </row>
    <row r="105" spans="1:10" ht="24.75">
      <c r="A105" s="117" t="s">
        <v>49</v>
      </c>
      <c r="B105" s="307" t="s">
        <v>125</v>
      </c>
      <c r="C105" s="307"/>
      <c r="D105" s="307"/>
      <c r="E105" s="307"/>
      <c r="F105" s="307"/>
      <c r="G105" s="308"/>
      <c r="H105" s="118">
        <f>H59</f>
        <v>0.3680000000000001</v>
      </c>
      <c r="I105" s="119">
        <f>I59</f>
        <v>798.77220599999998</v>
      </c>
      <c r="J105" s="120" t="s">
        <v>126</v>
      </c>
    </row>
    <row r="106" spans="1:10">
      <c r="A106" s="117" t="s">
        <v>74</v>
      </c>
      <c r="B106" s="307" t="s">
        <v>127</v>
      </c>
      <c r="C106" s="307"/>
      <c r="D106" s="307"/>
      <c r="E106" s="307"/>
      <c r="F106" s="307"/>
      <c r="G106" s="308"/>
      <c r="H106" s="118">
        <f>H69</f>
        <v>0.1222</v>
      </c>
      <c r="I106" s="119">
        <f>I69</f>
        <v>265.24</v>
      </c>
      <c r="J106" s="120" t="s">
        <v>128</v>
      </c>
    </row>
    <row r="107" spans="1:10">
      <c r="A107" s="117" t="s">
        <v>83</v>
      </c>
      <c r="B107" s="307" t="s">
        <v>129</v>
      </c>
      <c r="C107" s="307"/>
      <c r="D107" s="307"/>
      <c r="E107" s="307"/>
      <c r="F107" s="307"/>
      <c r="G107" s="308"/>
      <c r="H107" s="118">
        <f>H76</f>
        <v>1E-3</v>
      </c>
      <c r="I107" s="119">
        <f>I76</f>
        <v>2.17</v>
      </c>
      <c r="J107" s="120" t="s">
        <v>130</v>
      </c>
    </row>
    <row r="108" spans="1:10">
      <c r="A108" s="117" t="s">
        <v>90</v>
      </c>
      <c r="B108" s="307" t="s">
        <v>131</v>
      </c>
      <c r="C108" s="307"/>
      <c r="D108" s="307"/>
      <c r="E108" s="307"/>
      <c r="F108" s="307"/>
      <c r="G108" s="308"/>
      <c r="H108" s="118">
        <f>H88</f>
        <v>7.279999999999999E-2</v>
      </c>
      <c r="I108" s="119">
        <f>I88</f>
        <v>158.02000000000001</v>
      </c>
      <c r="J108" s="120" t="s">
        <v>132</v>
      </c>
    </row>
    <row r="109" spans="1:10">
      <c r="A109" s="117" t="s">
        <v>106</v>
      </c>
      <c r="B109" s="307" t="s">
        <v>133</v>
      </c>
      <c r="C109" s="307"/>
      <c r="D109" s="307"/>
      <c r="E109" s="307"/>
      <c r="F109" s="307"/>
      <c r="G109" s="308"/>
      <c r="H109" s="118">
        <f>H100</f>
        <v>0.20050000000000001</v>
      </c>
      <c r="I109" s="119">
        <f>I100</f>
        <v>435.19</v>
      </c>
      <c r="J109" s="120" t="s">
        <v>134</v>
      </c>
    </row>
    <row r="110" spans="1:10" ht="15.75" thickBot="1">
      <c r="A110" s="121" t="s">
        <v>135</v>
      </c>
      <c r="B110" s="309" t="s">
        <v>136</v>
      </c>
      <c r="C110" s="309"/>
      <c r="D110" s="309"/>
      <c r="E110" s="309"/>
      <c r="F110" s="309"/>
      <c r="G110" s="310"/>
      <c r="H110" s="122"/>
      <c r="I110" s="123">
        <v>0</v>
      </c>
      <c r="J110" s="116"/>
    </row>
    <row r="111" spans="1:10" ht="15.75" thickBot="1">
      <c r="A111" s="275" t="s">
        <v>70</v>
      </c>
      <c r="B111" s="276"/>
      <c r="C111" s="276"/>
      <c r="D111" s="276"/>
      <c r="E111" s="276"/>
      <c r="F111" s="276"/>
      <c r="G111" s="277"/>
      <c r="H111" s="124">
        <f>SUM(H105:H110)</f>
        <v>0.76450000000000007</v>
      </c>
      <c r="I111" s="83">
        <f>SUM(I105:I110)</f>
        <v>1659.392206</v>
      </c>
      <c r="J111" s="33"/>
    </row>
    <row r="112" spans="1:10">
      <c r="A112" s="125"/>
      <c r="B112" s="125"/>
      <c r="C112" s="125"/>
      <c r="D112" s="125"/>
      <c r="E112" s="125"/>
      <c r="F112" s="125"/>
      <c r="G112" s="125"/>
      <c r="H112" s="125"/>
      <c r="I112" s="125"/>
    </row>
    <row r="113" spans="1:10">
      <c r="A113" s="278" t="s">
        <v>137</v>
      </c>
      <c r="B113" s="278"/>
      <c r="C113" s="278"/>
      <c r="D113" s="278"/>
      <c r="E113" s="278"/>
      <c r="F113" s="278"/>
      <c r="G113" s="278"/>
      <c r="H113" s="278"/>
      <c r="I113" s="278"/>
    </row>
    <row r="114" spans="1:10">
      <c r="A114" s="85"/>
      <c r="B114" s="85"/>
      <c r="C114" s="85"/>
      <c r="D114" s="85"/>
      <c r="E114" s="85"/>
      <c r="F114" s="85"/>
      <c r="G114" s="85"/>
      <c r="H114" s="85"/>
      <c r="I114" s="85"/>
    </row>
    <row r="115" spans="1:10" ht="45">
      <c r="A115" s="50">
        <v>5</v>
      </c>
      <c r="B115" s="294" t="s">
        <v>138</v>
      </c>
      <c r="C115" s="294"/>
      <c r="D115" s="294"/>
      <c r="E115" s="294"/>
      <c r="F115" s="294"/>
      <c r="G115" s="294"/>
      <c r="H115" s="50" t="s">
        <v>51</v>
      </c>
      <c r="I115" s="73" t="s">
        <v>27</v>
      </c>
      <c r="J115" s="33" t="s">
        <v>124</v>
      </c>
    </row>
    <row r="116" spans="1:10">
      <c r="A116" s="126" t="s">
        <v>8</v>
      </c>
      <c r="B116" s="327" t="s">
        <v>139</v>
      </c>
      <c r="C116" s="327"/>
      <c r="D116" s="327"/>
      <c r="E116" s="327"/>
      <c r="F116" s="327"/>
      <c r="G116" s="327"/>
      <c r="H116" s="127">
        <v>0.06</v>
      </c>
      <c r="I116" s="128">
        <f>ROUND(I137*H116,2)</f>
        <v>239.87</v>
      </c>
      <c r="J116" s="33"/>
    </row>
    <row r="117" spans="1:10">
      <c r="A117" s="126"/>
      <c r="B117" s="270" t="s">
        <v>140</v>
      </c>
      <c r="C117" s="328"/>
      <c r="D117" s="328"/>
      <c r="E117" s="328"/>
      <c r="F117" s="328"/>
      <c r="G117" s="329"/>
      <c r="H117" s="127"/>
      <c r="I117" s="128">
        <f>I137+I116</f>
        <v>4237.681940444445</v>
      </c>
      <c r="J117" s="33"/>
    </row>
    <row r="118" spans="1:10" ht="30">
      <c r="A118" s="126" t="s">
        <v>10</v>
      </c>
      <c r="B118" s="270" t="s">
        <v>141</v>
      </c>
      <c r="C118" s="328"/>
      <c r="D118" s="328"/>
      <c r="E118" s="328"/>
      <c r="F118" s="328"/>
      <c r="G118" s="329"/>
      <c r="H118" s="129">
        <v>6.7900000000000002E-2</v>
      </c>
      <c r="I118" s="128">
        <f>I117*H118</f>
        <v>287.73860375617784</v>
      </c>
      <c r="J118" s="116" t="s">
        <v>142</v>
      </c>
    </row>
    <row r="119" spans="1:10">
      <c r="A119" s="126"/>
      <c r="B119" s="317" t="s">
        <v>143</v>
      </c>
      <c r="C119" s="318"/>
      <c r="D119" s="318"/>
      <c r="E119" s="318"/>
      <c r="F119" s="318"/>
      <c r="G119" s="319"/>
      <c r="H119" s="130">
        <f>SUM(H116:H118)</f>
        <v>0.12790000000000001</v>
      </c>
      <c r="I119" s="131">
        <f>I116+I118</f>
        <v>527.6086037561779</v>
      </c>
      <c r="J119" s="132"/>
    </row>
    <row r="120" spans="1:10">
      <c r="A120" s="126"/>
      <c r="B120" s="320" t="s">
        <v>79</v>
      </c>
      <c r="C120" s="321"/>
      <c r="D120" s="321"/>
      <c r="E120" s="321"/>
      <c r="F120" s="321"/>
      <c r="G120" s="322"/>
      <c r="H120" s="133"/>
      <c r="I120" s="131">
        <f>I119+I133+I134+I135+I136</f>
        <v>4525.4205442006223</v>
      </c>
      <c r="J120" s="134"/>
    </row>
    <row r="121" spans="1:10">
      <c r="A121" s="126"/>
      <c r="B121" s="323" t="s">
        <v>144</v>
      </c>
      <c r="C121" s="324"/>
      <c r="D121" s="324"/>
      <c r="E121" s="324"/>
      <c r="F121" s="324"/>
      <c r="G121" s="325"/>
      <c r="H121" s="135"/>
      <c r="I121" s="131">
        <f>I120/((100-8.65)/100)</f>
        <v>4953.9360089771453</v>
      </c>
      <c r="J121" s="136"/>
    </row>
    <row r="122" spans="1:10">
      <c r="A122" s="137" t="s">
        <v>12</v>
      </c>
      <c r="B122" s="326" t="s">
        <v>145</v>
      </c>
      <c r="C122" s="326"/>
      <c r="D122" s="326"/>
      <c r="E122" s="326"/>
      <c r="F122" s="326"/>
      <c r="G122" s="326"/>
      <c r="H122" s="135">
        <f>SUM(H123:H125)</f>
        <v>8.6499999999999994E-2</v>
      </c>
      <c r="I122" s="138">
        <f>SUM(I123:I125)</f>
        <v>428.51546477652312</v>
      </c>
      <c r="J122" s="136"/>
    </row>
    <row r="123" spans="1:10">
      <c r="A123" s="137"/>
      <c r="B123" s="326" t="s">
        <v>146</v>
      </c>
      <c r="C123" s="326"/>
      <c r="D123" s="326"/>
      <c r="E123" s="326"/>
      <c r="F123" s="326"/>
      <c r="G123" s="326"/>
      <c r="H123" s="139">
        <v>3.6499999999999998E-2</v>
      </c>
      <c r="I123" s="140">
        <f>H123*I121</f>
        <v>180.8186643276658</v>
      </c>
      <c r="J123" s="136"/>
    </row>
    <row r="124" spans="1:10">
      <c r="A124" s="137"/>
      <c r="B124" s="326" t="s">
        <v>147</v>
      </c>
      <c r="C124" s="326"/>
      <c r="D124" s="326"/>
      <c r="E124" s="326"/>
      <c r="F124" s="326"/>
      <c r="G124" s="326"/>
      <c r="H124" s="139">
        <v>0</v>
      </c>
      <c r="I124" s="140">
        <f>H124*I121</f>
        <v>0</v>
      </c>
      <c r="J124" s="136"/>
    </row>
    <row r="125" spans="1:10">
      <c r="A125" s="137"/>
      <c r="B125" s="137" t="s">
        <v>148</v>
      </c>
      <c r="C125" s="137"/>
      <c r="D125" s="340" t="s">
        <v>149</v>
      </c>
      <c r="E125" s="341"/>
      <c r="F125" s="342">
        <f>H14</f>
        <v>12</v>
      </c>
      <c r="G125" s="343"/>
      <c r="H125" s="141">
        <v>0.05</v>
      </c>
      <c r="I125" s="142">
        <f>H125*I121</f>
        <v>247.69680044885729</v>
      </c>
      <c r="J125" s="143"/>
    </row>
    <row r="126" spans="1:10">
      <c r="A126" s="344" t="s">
        <v>70</v>
      </c>
      <c r="B126" s="345"/>
      <c r="C126" s="345"/>
      <c r="D126" s="345"/>
      <c r="E126" s="345"/>
      <c r="F126" s="345"/>
      <c r="G126" s="346"/>
      <c r="H126" s="144">
        <f>SUM(H123:H125)+H119</f>
        <v>0.21440000000000001</v>
      </c>
      <c r="I126" s="145">
        <f>SUM(I123:I125)+I119</f>
        <v>956.12406853270102</v>
      </c>
      <c r="J126" s="143"/>
    </row>
    <row r="127" spans="1:10">
      <c r="A127" s="347" t="s">
        <v>150</v>
      </c>
      <c r="B127" s="347"/>
      <c r="C127" s="347"/>
      <c r="D127" s="347"/>
      <c r="E127" s="347"/>
      <c r="F127" s="347"/>
      <c r="G127" s="347"/>
      <c r="H127" s="347"/>
      <c r="I127" s="347"/>
    </row>
    <row r="128" spans="1:10">
      <c r="A128" s="306" t="s">
        <v>151</v>
      </c>
      <c r="B128" s="306"/>
      <c r="C128" s="306"/>
      <c r="D128" s="306"/>
      <c r="E128" s="306"/>
      <c r="F128" s="306"/>
      <c r="G128" s="306"/>
      <c r="H128" s="306"/>
      <c r="I128" s="306"/>
    </row>
    <row r="130" spans="1:10">
      <c r="A130" s="224" t="s">
        <v>152</v>
      </c>
      <c r="B130" s="224"/>
      <c r="C130" s="224"/>
      <c r="D130" s="224"/>
      <c r="E130" s="224"/>
      <c r="F130" s="224"/>
      <c r="G130" s="224"/>
      <c r="H130" s="224"/>
      <c r="I130" s="224"/>
    </row>
    <row r="131" spans="1:10">
      <c r="A131" s="49"/>
      <c r="B131" s="49"/>
      <c r="C131" s="49"/>
      <c r="D131" s="49"/>
      <c r="E131" s="49"/>
      <c r="F131" s="49"/>
      <c r="G131" s="49"/>
      <c r="H131" s="49"/>
      <c r="I131" s="49"/>
    </row>
    <row r="132" spans="1:10" ht="45">
      <c r="A132" s="146"/>
      <c r="B132" s="333" t="s">
        <v>153</v>
      </c>
      <c r="C132" s="334"/>
      <c r="D132" s="334"/>
      <c r="E132" s="334"/>
      <c r="F132" s="334"/>
      <c r="G132" s="335"/>
      <c r="H132" s="147" t="s">
        <v>51</v>
      </c>
      <c r="I132" s="146" t="s">
        <v>27</v>
      </c>
      <c r="J132" s="148" t="s">
        <v>154</v>
      </c>
    </row>
    <row r="133" spans="1:10">
      <c r="A133" s="149" t="s">
        <v>8</v>
      </c>
      <c r="B133" s="336" t="s">
        <v>155</v>
      </c>
      <c r="C133" s="336"/>
      <c r="D133" s="336"/>
      <c r="E133" s="336"/>
      <c r="F133" s="336"/>
      <c r="G133" s="337"/>
      <c r="H133" s="150"/>
      <c r="I133" s="151">
        <f>I30</f>
        <v>2170.5684000000001</v>
      </c>
      <c r="J133" s="148"/>
    </row>
    <row r="134" spans="1:10">
      <c r="A134" s="149" t="s">
        <v>10</v>
      </c>
      <c r="B134" s="336" t="s">
        <v>156</v>
      </c>
      <c r="C134" s="336"/>
      <c r="D134" s="336"/>
      <c r="E134" s="336"/>
      <c r="F134" s="336"/>
      <c r="G134" s="337"/>
      <c r="H134" s="150"/>
      <c r="I134" s="151">
        <f>I37</f>
        <v>55.855640000000001</v>
      </c>
      <c r="J134" s="148"/>
    </row>
    <row r="135" spans="1:10">
      <c r="A135" s="149" t="s">
        <v>12</v>
      </c>
      <c r="B135" s="336" t="s">
        <v>157</v>
      </c>
      <c r="C135" s="336"/>
      <c r="D135" s="336"/>
      <c r="E135" s="336"/>
      <c r="F135" s="336"/>
      <c r="G135" s="337"/>
      <c r="H135" s="150"/>
      <c r="I135" s="151">
        <f>I44</f>
        <v>111.99569444444445</v>
      </c>
      <c r="J135" s="148"/>
    </row>
    <row r="136" spans="1:10">
      <c r="A136" s="149" t="s">
        <v>14</v>
      </c>
      <c r="B136" s="336" t="s">
        <v>158</v>
      </c>
      <c r="C136" s="336"/>
      <c r="D136" s="336"/>
      <c r="E136" s="336"/>
      <c r="F136" s="336"/>
      <c r="G136" s="337"/>
      <c r="H136" s="150"/>
      <c r="I136" s="151">
        <f>I111</f>
        <v>1659.392206</v>
      </c>
      <c r="J136" s="148"/>
    </row>
    <row r="137" spans="1:10">
      <c r="A137" s="338" t="s">
        <v>159</v>
      </c>
      <c r="B137" s="339"/>
      <c r="C137" s="339"/>
      <c r="D137" s="339"/>
      <c r="E137" s="339"/>
      <c r="F137" s="339"/>
      <c r="G137" s="339"/>
      <c r="H137" s="152"/>
      <c r="I137" s="153">
        <f>SUM(I133:I136)</f>
        <v>3997.8119404444446</v>
      </c>
      <c r="J137" s="148"/>
    </row>
    <row r="138" spans="1:10" ht="15.75" thickBot="1">
      <c r="A138" s="154" t="s">
        <v>38</v>
      </c>
      <c r="B138" s="330" t="s">
        <v>160</v>
      </c>
      <c r="C138" s="331"/>
      <c r="D138" s="331"/>
      <c r="E138" s="331"/>
      <c r="F138" s="331"/>
      <c r="G138" s="332"/>
      <c r="H138" s="155"/>
      <c r="I138" s="156">
        <f>I126</f>
        <v>956.12406853270102</v>
      </c>
      <c r="J138" s="148"/>
    </row>
    <row r="139" spans="1:10" ht="15.75" thickBot="1">
      <c r="A139" s="280" t="s">
        <v>161</v>
      </c>
      <c r="B139" s="281"/>
      <c r="C139" s="281"/>
      <c r="D139" s="281"/>
      <c r="E139" s="281"/>
      <c r="F139" s="281"/>
      <c r="G139" s="282"/>
      <c r="H139" s="157"/>
      <c r="I139" s="158">
        <f>I137+I138</f>
        <v>4953.9360089771453</v>
      </c>
      <c r="J139" s="148"/>
    </row>
  </sheetData>
  <mergeCells count="120">
    <mergeCell ref="B138:G138"/>
    <mergeCell ref="A139:G139"/>
    <mergeCell ref="B132:G132"/>
    <mergeCell ref="B133:G133"/>
    <mergeCell ref="B134:G134"/>
    <mergeCell ref="B135:G135"/>
    <mergeCell ref="B136:G136"/>
    <mergeCell ref="A137:G137"/>
    <mergeCell ref="D125:E125"/>
    <mergeCell ref="F125:G125"/>
    <mergeCell ref="A126:G126"/>
    <mergeCell ref="A127:I127"/>
    <mergeCell ref="A128:I128"/>
    <mergeCell ref="A130:I130"/>
    <mergeCell ref="B119:G119"/>
    <mergeCell ref="B120:G120"/>
    <mergeCell ref="B121:G121"/>
    <mergeCell ref="B122:G122"/>
    <mergeCell ref="B123:G123"/>
    <mergeCell ref="B124:G124"/>
    <mergeCell ref="A111:G111"/>
    <mergeCell ref="A113:I113"/>
    <mergeCell ref="B115:G115"/>
    <mergeCell ref="B116:G116"/>
    <mergeCell ref="B117:G117"/>
    <mergeCell ref="B118:G118"/>
    <mergeCell ref="B105:G105"/>
    <mergeCell ref="B106:G106"/>
    <mergeCell ref="B107:G107"/>
    <mergeCell ref="B108:G108"/>
    <mergeCell ref="B109:G109"/>
    <mergeCell ref="B110:G110"/>
    <mergeCell ref="B97:G97"/>
    <mergeCell ref="A98:G98"/>
    <mergeCell ref="B99:G99"/>
    <mergeCell ref="A100:G100"/>
    <mergeCell ref="A102:G102"/>
    <mergeCell ref="B104:G104"/>
    <mergeCell ref="A90:G90"/>
    <mergeCell ref="B92:G92"/>
    <mergeCell ref="B93:G93"/>
    <mergeCell ref="B94:G94"/>
    <mergeCell ref="B95:G95"/>
    <mergeCell ref="B96:G96"/>
    <mergeCell ref="B85:G85"/>
    <mergeCell ref="B86:G86"/>
    <mergeCell ref="B87:G87"/>
    <mergeCell ref="A88:G88"/>
    <mergeCell ref="B89:G89"/>
    <mergeCell ref="H89:I89"/>
    <mergeCell ref="A78:I78"/>
    <mergeCell ref="B80:G80"/>
    <mergeCell ref="B81:G81"/>
    <mergeCell ref="B82:G82"/>
    <mergeCell ref="B83:G83"/>
    <mergeCell ref="B84:G84"/>
    <mergeCell ref="A71:I71"/>
    <mergeCell ref="B73:G73"/>
    <mergeCell ref="B74:G74"/>
    <mergeCell ref="B75:G75"/>
    <mergeCell ref="A76:G76"/>
    <mergeCell ref="A77:G77"/>
    <mergeCell ref="H77:I77"/>
    <mergeCell ref="A63:I63"/>
    <mergeCell ref="B65:G65"/>
    <mergeCell ref="B66:G66"/>
    <mergeCell ref="A67:G67"/>
    <mergeCell ref="B68:G68"/>
    <mergeCell ref="A69:G69"/>
    <mergeCell ref="B56:G56"/>
    <mergeCell ref="B57:G57"/>
    <mergeCell ref="B58:G58"/>
    <mergeCell ref="A59:G59"/>
    <mergeCell ref="A60:I60"/>
    <mergeCell ref="A61:I61"/>
    <mergeCell ref="B50:G50"/>
    <mergeCell ref="B51:G51"/>
    <mergeCell ref="B52:G52"/>
    <mergeCell ref="B53:G53"/>
    <mergeCell ref="B54:G54"/>
    <mergeCell ref="B55:G55"/>
    <mergeCell ref="A38:I38"/>
    <mergeCell ref="B40:F40"/>
    <mergeCell ref="B41:F41"/>
    <mergeCell ref="B44:G44"/>
    <mergeCell ref="A46:I46"/>
    <mergeCell ref="A48:I48"/>
    <mergeCell ref="B35:F35"/>
    <mergeCell ref="B36:F36"/>
    <mergeCell ref="B37:G37"/>
    <mergeCell ref="B26:F26"/>
    <mergeCell ref="B27:F27"/>
    <mergeCell ref="B28:F28"/>
    <mergeCell ref="B30:F30"/>
    <mergeCell ref="A32:I32"/>
    <mergeCell ref="B34:F34"/>
    <mergeCell ref="B21:G21"/>
    <mergeCell ref="H21:J21"/>
    <mergeCell ref="H22:J22"/>
    <mergeCell ref="B23:G23"/>
    <mergeCell ref="H23:J23"/>
    <mergeCell ref="A25:I25"/>
    <mergeCell ref="B14:G14"/>
    <mergeCell ref="A16:I16"/>
    <mergeCell ref="A18:J18"/>
    <mergeCell ref="B19:G19"/>
    <mergeCell ref="B20:G20"/>
    <mergeCell ref="H20:J20"/>
    <mergeCell ref="A9:D9"/>
    <mergeCell ref="E9:I9"/>
    <mergeCell ref="A10:I10"/>
    <mergeCell ref="B11:G11"/>
    <mergeCell ref="B12:G12"/>
    <mergeCell ref="B13:G13"/>
    <mergeCell ref="A4:I4"/>
    <mergeCell ref="A5:I5"/>
    <mergeCell ref="A6:I6"/>
    <mergeCell ref="A7:D7"/>
    <mergeCell ref="A8:D8"/>
    <mergeCell ref="H8:J8"/>
  </mergeCells>
  <pageMargins left="0.511811024" right="0.511811024" top="0.78740157499999996" bottom="0.78740157499999996" header="0.31496062000000002" footer="0.31496062000000002"/>
  <pageSetup paperSize="9" scale="62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1</xdr:col>
                <xdr:colOff>247650</xdr:colOff>
                <xdr:row>0</xdr:row>
                <xdr:rowOff>0</xdr:rowOff>
              </from>
              <to>
                <xdr:col>1</xdr:col>
                <xdr:colOff>885825</xdr:colOff>
                <xdr:row>4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4"/>
  <sheetViews>
    <sheetView topLeftCell="D4" workbookViewId="0">
      <selection activeCell="S34" sqref="S34"/>
    </sheetView>
  </sheetViews>
  <sheetFormatPr defaultRowHeight="15"/>
  <cols>
    <col min="1" max="1" width="36.28515625" customWidth="1"/>
    <col min="3" max="3" width="13.85546875" customWidth="1"/>
    <col min="4" max="5" width="12.28515625" customWidth="1"/>
    <col min="6" max="13" width="13" customWidth="1"/>
    <col min="14" max="14" width="11.42578125" customWidth="1"/>
    <col min="15" max="15" width="11" customWidth="1"/>
  </cols>
  <sheetData>
    <row r="2" spans="1:20">
      <c r="A2" s="196" t="s">
        <v>191</v>
      </c>
      <c r="B2" s="196" t="s">
        <v>25</v>
      </c>
      <c r="C2" s="196" t="s">
        <v>164</v>
      </c>
      <c r="D2" s="196" t="s">
        <v>189</v>
      </c>
      <c r="E2" s="196" t="s">
        <v>190</v>
      </c>
      <c r="F2" s="196" t="s">
        <v>194</v>
      </c>
      <c r="G2" s="196" t="s">
        <v>196</v>
      </c>
      <c r="H2" s="196" t="s">
        <v>202</v>
      </c>
      <c r="I2" s="196" t="s">
        <v>226</v>
      </c>
      <c r="J2" s="196" t="s">
        <v>197</v>
      </c>
      <c r="K2" s="196" t="s">
        <v>205</v>
      </c>
      <c r="L2" s="196" t="s">
        <v>203</v>
      </c>
      <c r="M2" s="196" t="s">
        <v>204</v>
      </c>
      <c r="N2" s="196" t="s">
        <v>227</v>
      </c>
      <c r="O2" s="196" t="s">
        <v>213</v>
      </c>
      <c r="P2" s="196"/>
      <c r="Q2" s="196"/>
      <c r="R2" s="196" t="s">
        <v>165</v>
      </c>
      <c r="S2" s="196" t="s">
        <v>166</v>
      </c>
      <c r="T2" s="196" t="s">
        <v>168</v>
      </c>
    </row>
    <row r="3" spans="1:20">
      <c r="A3" s="196" t="s">
        <v>178</v>
      </c>
      <c r="B3" s="196">
        <v>1</v>
      </c>
      <c r="C3" s="196">
        <v>189.9</v>
      </c>
      <c r="D3" s="196">
        <v>215.96</v>
      </c>
      <c r="E3" s="196">
        <v>118.28</v>
      </c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>
        <f>(C3+D3+E3)/3</f>
        <v>174.71333333333334</v>
      </c>
      <c r="S3" s="196">
        <f>B3*R3</f>
        <v>174.71333333333334</v>
      </c>
      <c r="T3" s="196">
        <f>S3/12</f>
        <v>14.559444444444445</v>
      </c>
    </row>
    <row r="4" spans="1:20">
      <c r="A4" s="196" t="s">
        <v>179</v>
      </c>
      <c r="B4" s="196">
        <v>4</v>
      </c>
      <c r="C4" s="196">
        <v>69.900000000000006</v>
      </c>
      <c r="D4" s="196"/>
      <c r="E4" s="196"/>
      <c r="F4" s="196">
        <v>59.9</v>
      </c>
      <c r="G4" s="196"/>
      <c r="H4" s="196"/>
      <c r="I4" s="196">
        <v>24.99</v>
      </c>
      <c r="J4" s="196"/>
      <c r="K4" s="196"/>
      <c r="L4" s="196"/>
      <c r="M4" s="196"/>
      <c r="N4" s="196"/>
      <c r="O4" s="196"/>
      <c r="P4" s="196"/>
      <c r="Q4" s="196"/>
      <c r="R4" s="196">
        <f>(C4+F4+I4)/3</f>
        <v>51.596666666666671</v>
      </c>
      <c r="S4" s="196">
        <f t="shared" ref="S4:S14" si="0">R4*B4</f>
        <v>206.38666666666668</v>
      </c>
      <c r="T4" s="196">
        <f t="shared" ref="T4:T14" si="1">S4/12</f>
        <v>17.198888888888892</v>
      </c>
    </row>
    <row r="5" spans="1:20">
      <c r="A5" s="196" t="s">
        <v>180</v>
      </c>
      <c r="B5" s="196">
        <v>3</v>
      </c>
      <c r="C5" s="196">
        <v>29.99</v>
      </c>
      <c r="D5" s="196">
        <v>31.96</v>
      </c>
      <c r="E5" s="196"/>
      <c r="F5" s="196"/>
      <c r="G5" s="196">
        <v>51.9</v>
      </c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>
        <f>(C5+D5+G5)/3</f>
        <v>37.949999999999996</v>
      </c>
      <c r="S5" s="196">
        <f t="shared" si="0"/>
        <v>113.85</v>
      </c>
      <c r="T5" s="196">
        <f t="shared" si="1"/>
        <v>9.4874999999999989</v>
      </c>
    </row>
    <row r="6" spans="1:20">
      <c r="A6" s="196" t="s">
        <v>181</v>
      </c>
      <c r="B6" s="196">
        <v>2</v>
      </c>
      <c r="C6" s="196">
        <v>9.5</v>
      </c>
      <c r="D6" s="196"/>
      <c r="E6" s="196"/>
      <c r="F6" s="196"/>
      <c r="G6" s="196"/>
      <c r="H6" s="196"/>
      <c r="I6" s="196">
        <v>6.99</v>
      </c>
      <c r="J6" s="196">
        <v>9.99</v>
      </c>
      <c r="K6" s="196"/>
      <c r="L6" s="196"/>
      <c r="M6" s="196"/>
      <c r="N6" s="196"/>
      <c r="O6" s="196"/>
      <c r="P6" s="196"/>
      <c r="Q6" s="196"/>
      <c r="R6" s="196">
        <f>(C6+J6+I6)/3</f>
        <v>8.826666666666668</v>
      </c>
      <c r="S6" s="196">
        <f t="shared" si="0"/>
        <v>17.653333333333336</v>
      </c>
      <c r="T6" s="196">
        <f t="shared" si="1"/>
        <v>1.4711111111111113</v>
      </c>
    </row>
    <row r="7" spans="1:20">
      <c r="A7" s="196" t="s">
        <v>182</v>
      </c>
      <c r="B7" s="196">
        <v>2</v>
      </c>
      <c r="C7" s="196">
        <v>24.9</v>
      </c>
      <c r="D7" s="196"/>
      <c r="E7" s="196">
        <v>31.58</v>
      </c>
      <c r="F7" s="196">
        <v>15.9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>
        <f>(C7+E7+F7)/3</f>
        <v>24.126666666666665</v>
      </c>
      <c r="S7" s="196">
        <f t="shared" si="0"/>
        <v>48.25333333333333</v>
      </c>
      <c r="T7" s="196">
        <f t="shared" si="1"/>
        <v>4.0211111111111109</v>
      </c>
    </row>
    <row r="8" spans="1:20">
      <c r="A8" s="196" t="s">
        <v>183</v>
      </c>
      <c r="B8" s="196">
        <v>2</v>
      </c>
      <c r="C8" s="196">
        <v>37.9</v>
      </c>
      <c r="D8" s="196"/>
      <c r="E8" s="196">
        <v>62.63</v>
      </c>
      <c r="F8" s="196"/>
      <c r="G8" s="196"/>
      <c r="H8" s="196"/>
      <c r="I8" s="196">
        <v>29.99</v>
      </c>
      <c r="J8" s="196"/>
      <c r="K8" s="196"/>
      <c r="L8" s="196"/>
      <c r="M8" s="196"/>
      <c r="N8" s="196"/>
      <c r="O8" s="196"/>
      <c r="P8" s="196"/>
      <c r="Q8" s="196"/>
      <c r="R8" s="196">
        <f>(C8+E8+I8)/3</f>
        <v>43.506666666666668</v>
      </c>
      <c r="S8" s="196">
        <f t="shared" si="0"/>
        <v>87.013333333333335</v>
      </c>
      <c r="T8" s="196">
        <f t="shared" si="1"/>
        <v>7.2511111111111113</v>
      </c>
    </row>
    <row r="9" spans="1:20">
      <c r="A9" s="196" t="s">
        <v>184</v>
      </c>
      <c r="B9" s="196">
        <v>1</v>
      </c>
      <c r="C9" s="196">
        <v>49.99</v>
      </c>
      <c r="D9" s="196">
        <v>39.96</v>
      </c>
      <c r="E9" s="196"/>
      <c r="F9" s="196"/>
      <c r="G9" s="196"/>
      <c r="H9" s="196"/>
      <c r="I9" s="196">
        <v>39.99</v>
      </c>
      <c r="J9" s="196"/>
      <c r="K9" s="196"/>
      <c r="L9" s="196"/>
      <c r="M9" s="196"/>
      <c r="N9" s="196"/>
      <c r="O9" s="196"/>
      <c r="P9" s="196"/>
      <c r="Q9" s="196"/>
      <c r="R9" s="196">
        <f>(C9+D9+I9)/3</f>
        <v>43.313333333333333</v>
      </c>
      <c r="S9" s="196">
        <f t="shared" si="0"/>
        <v>43.313333333333333</v>
      </c>
      <c r="T9" s="196">
        <f t="shared" si="1"/>
        <v>3.6094444444444442</v>
      </c>
    </row>
    <row r="10" spans="1:20">
      <c r="A10" s="196" t="s">
        <v>185</v>
      </c>
      <c r="B10" s="196">
        <v>3</v>
      </c>
      <c r="C10" s="196">
        <v>79.900000000000006</v>
      </c>
      <c r="D10" s="196"/>
      <c r="E10" s="196">
        <v>89.62</v>
      </c>
      <c r="F10" s="196"/>
      <c r="G10" s="196"/>
      <c r="H10" s="196"/>
      <c r="I10" s="196"/>
      <c r="J10" s="196"/>
      <c r="K10" s="196">
        <v>59.9</v>
      </c>
      <c r="L10" s="196"/>
      <c r="M10" s="196"/>
      <c r="N10" s="196"/>
      <c r="O10" s="196"/>
      <c r="P10" s="196"/>
      <c r="Q10" s="196"/>
      <c r="R10" s="196">
        <f>(C10+E10+F10)/3</f>
        <v>56.506666666666668</v>
      </c>
      <c r="S10" s="196">
        <f t="shared" si="0"/>
        <v>169.52</v>
      </c>
      <c r="T10" s="196">
        <f t="shared" si="1"/>
        <v>14.126666666666667</v>
      </c>
    </row>
    <row r="11" spans="1:20">
      <c r="A11" s="196" t="s">
        <v>186</v>
      </c>
      <c r="B11" s="196">
        <v>6</v>
      </c>
      <c r="C11" s="196"/>
      <c r="D11" s="196">
        <v>11.9</v>
      </c>
      <c r="E11" s="196">
        <v>11.87</v>
      </c>
      <c r="F11" s="196">
        <v>9.9</v>
      </c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>
        <f>(D11+E11+F11)/3</f>
        <v>11.223333333333334</v>
      </c>
      <c r="S11" s="196">
        <f t="shared" si="0"/>
        <v>67.34</v>
      </c>
      <c r="T11" s="196">
        <f t="shared" si="1"/>
        <v>5.6116666666666672</v>
      </c>
    </row>
    <row r="12" spans="1:20">
      <c r="A12" s="196" t="s">
        <v>187</v>
      </c>
      <c r="B12" s="196">
        <v>1</v>
      </c>
      <c r="C12" s="196">
        <v>79.989999999999995</v>
      </c>
      <c r="D12" s="196"/>
      <c r="E12" s="196"/>
      <c r="F12" s="196"/>
      <c r="G12" s="196"/>
      <c r="H12" s="196">
        <v>49.9</v>
      </c>
      <c r="I12" s="196"/>
      <c r="J12" s="196"/>
      <c r="K12" s="196"/>
      <c r="L12" s="196"/>
      <c r="M12" s="196"/>
      <c r="N12" s="196"/>
      <c r="O12" s="196">
        <v>59.9</v>
      </c>
      <c r="P12" s="196"/>
      <c r="Q12" s="196"/>
      <c r="R12" s="196">
        <f>(C12+H12+O12)/3</f>
        <v>63.263333333333328</v>
      </c>
      <c r="S12" s="196">
        <f t="shared" si="0"/>
        <v>63.263333333333328</v>
      </c>
      <c r="T12" s="196">
        <f t="shared" si="1"/>
        <v>5.2719444444444443</v>
      </c>
    </row>
    <row r="13" spans="1:20">
      <c r="A13" s="196" t="s">
        <v>188</v>
      </c>
      <c r="B13" s="196">
        <v>1</v>
      </c>
      <c r="C13" s="196">
        <v>45</v>
      </c>
      <c r="D13" s="196"/>
      <c r="E13" s="196"/>
      <c r="F13" s="196"/>
      <c r="G13" s="196"/>
      <c r="H13" s="196">
        <v>59.9</v>
      </c>
      <c r="I13" s="196"/>
      <c r="J13" s="196"/>
      <c r="K13" s="196"/>
      <c r="L13" s="196"/>
      <c r="M13" s="196"/>
      <c r="N13" s="196">
        <v>69.989999999999995</v>
      </c>
      <c r="O13" s="196"/>
      <c r="P13" s="196"/>
      <c r="Q13" s="196"/>
      <c r="R13" s="196">
        <f>(C13+H13+N13)/3</f>
        <v>58.29666666666666</v>
      </c>
      <c r="S13" s="196">
        <f t="shared" si="0"/>
        <v>58.29666666666666</v>
      </c>
      <c r="T13" s="196">
        <f t="shared" si="1"/>
        <v>4.8580555555555547</v>
      </c>
    </row>
    <row r="14" spans="1:20">
      <c r="A14" s="196" t="s">
        <v>167</v>
      </c>
      <c r="B14" s="196">
        <v>1</v>
      </c>
      <c r="C14" s="196">
        <v>3</v>
      </c>
      <c r="D14" s="196"/>
      <c r="E14" s="196"/>
      <c r="F14" s="196"/>
      <c r="G14" s="196"/>
      <c r="H14" s="196"/>
      <c r="I14" s="196"/>
      <c r="J14" s="196"/>
      <c r="K14" s="196"/>
      <c r="L14" s="196">
        <v>7</v>
      </c>
      <c r="M14" s="196">
        <v>7</v>
      </c>
      <c r="N14" s="196"/>
      <c r="O14" s="196"/>
      <c r="P14" s="196"/>
      <c r="Q14" s="196"/>
      <c r="R14" s="196">
        <f>(C14+L14+M14)/3</f>
        <v>5.666666666666667</v>
      </c>
      <c r="S14" s="196">
        <f t="shared" si="0"/>
        <v>5.666666666666667</v>
      </c>
      <c r="T14" s="196">
        <f t="shared" si="1"/>
        <v>0.47222222222222227</v>
      </c>
    </row>
    <row r="15" spans="1:20">
      <c r="S15" s="204">
        <f>SUM(T3:T14)</f>
        <v>87.939166666666679</v>
      </c>
    </row>
    <row r="17" spans="1:20">
      <c r="A17" s="196" t="s">
        <v>192</v>
      </c>
      <c r="B17" s="196" t="s">
        <v>25</v>
      </c>
      <c r="C17" s="196" t="s">
        <v>164</v>
      </c>
      <c r="D17" s="196" t="s">
        <v>189</v>
      </c>
      <c r="E17" s="196" t="s">
        <v>205</v>
      </c>
      <c r="F17" s="196" t="s">
        <v>194</v>
      </c>
      <c r="G17" s="196" t="s">
        <v>210</v>
      </c>
      <c r="H17" s="196" t="s">
        <v>211</v>
      </c>
      <c r="I17" s="196" t="s">
        <v>202</v>
      </c>
      <c r="J17" s="196" t="s">
        <v>212</v>
      </c>
      <c r="K17" s="205" t="s">
        <v>213</v>
      </c>
      <c r="L17" s="205" t="s">
        <v>214</v>
      </c>
      <c r="M17" s="196" t="s">
        <v>203</v>
      </c>
      <c r="N17" s="196" t="s">
        <v>204</v>
      </c>
      <c r="O17" s="205" t="s">
        <v>215</v>
      </c>
      <c r="P17" s="205" t="s">
        <v>216</v>
      </c>
      <c r="Q17" s="205" t="s">
        <v>217</v>
      </c>
      <c r="R17" s="204" t="s">
        <v>165</v>
      </c>
      <c r="S17" s="204" t="s">
        <v>166</v>
      </c>
      <c r="T17" s="204" t="s">
        <v>168</v>
      </c>
    </row>
    <row r="18" spans="1:20">
      <c r="A18" s="196" t="s">
        <v>193</v>
      </c>
      <c r="B18" s="196">
        <v>1</v>
      </c>
      <c r="C18" s="196">
        <v>39.99</v>
      </c>
      <c r="D18" s="196"/>
      <c r="E18" s="196"/>
      <c r="F18" s="196"/>
      <c r="G18" s="196">
        <v>114.27</v>
      </c>
      <c r="H18" s="196"/>
      <c r="I18" s="196"/>
      <c r="J18" s="196">
        <v>75</v>
      </c>
      <c r="K18" s="196"/>
      <c r="L18" s="196"/>
      <c r="M18" s="196"/>
      <c r="N18" s="196"/>
      <c r="O18" s="196"/>
      <c r="P18" s="196"/>
      <c r="Q18" s="196"/>
      <c r="R18">
        <f>(C18+G18+J18)/3</f>
        <v>76.42</v>
      </c>
      <c r="S18">
        <f>R18*B18</f>
        <v>76.42</v>
      </c>
      <c r="T18">
        <f>S18/12</f>
        <v>6.3683333333333332</v>
      </c>
    </row>
    <row r="19" spans="1:20">
      <c r="A19" s="196" t="s">
        <v>195</v>
      </c>
      <c r="B19" s="196">
        <v>4</v>
      </c>
      <c r="C19" s="196"/>
      <c r="D19" s="196">
        <v>59.95</v>
      </c>
      <c r="E19" s="196">
        <v>59.99</v>
      </c>
      <c r="F19" s="196">
        <v>47.96</v>
      </c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>
        <f>(D19+E19+F19)/3</f>
        <v>55.966666666666669</v>
      </c>
      <c r="S19">
        <f t="shared" ref="S19:S30" si="2">R19*B19</f>
        <v>223.86666666666667</v>
      </c>
      <c r="T19">
        <f t="shared" ref="T19:T30" si="3">S19/12</f>
        <v>18.655555555555555</v>
      </c>
    </row>
    <row r="20" spans="1:20">
      <c r="A20" s="196" t="s">
        <v>206</v>
      </c>
      <c r="B20" s="196">
        <v>3</v>
      </c>
      <c r="C20" s="196"/>
      <c r="D20" s="196"/>
      <c r="E20" s="196">
        <v>49.99</v>
      </c>
      <c r="F20" s="196"/>
      <c r="G20" s="196"/>
      <c r="H20" s="196">
        <v>24.99</v>
      </c>
      <c r="I20" s="196"/>
      <c r="J20" s="196">
        <v>42</v>
      </c>
      <c r="K20" s="196"/>
      <c r="L20" s="196"/>
      <c r="M20" s="196"/>
      <c r="N20" s="196"/>
      <c r="O20" s="196"/>
      <c r="P20" s="196"/>
      <c r="Q20" s="196"/>
      <c r="R20">
        <f>(E20+H20+J20)/3</f>
        <v>38.993333333333332</v>
      </c>
      <c r="S20">
        <f t="shared" si="2"/>
        <v>116.97999999999999</v>
      </c>
      <c r="T20">
        <f t="shared" si="3"/>
        <v>9.7483333333333331</v>
      </c>
    </row>
    <row r="21" spans="1:20">
      <c r="A21" s="196" t="s">
        <v>181</v>
      </c>
      <c r="B21" s="196">
        <v>2</v>
      </c>
      <c r="C21" s="196">
        <v>6.79</v>
      </c>
      <c r="D21" s="196"/>
      <c r="E21" s="196">
        <v>19.899999999999999</v>
      </c>
      <c r="F21" s="196"/>
      <c r="G21" s="196"/>
      <c r="H21" s="196">
        <v>39.950000000000003</v>
      </c>
      <c r="I21" s="196"/>
      <c r="J21" s="196"/>
      <c r="K21" s="196"/>
      <c r="L21" s="196"/>
      <c r="M21" s="196"/>
      <c r="N21" s="196"/>
      <c r="O21" s="196"/>
      <c r="P21" s="196"/>
      <c r="Q21" s="196"/>
      <c r="R21">
        <f>(C21+E21+H21)/3</f>
        <v>22.213333333333335</v>
      </c>
      <c r="S21">
        <f t="shared" si="2"/>
        <v>44.426666666666669</v>
      </c>
      <c r="T21">
        <f t="shared" si="3"/>
        <v>3.7022222222222223</v>
      </c>
    </row>
    <row r="22" spans="1:20">
      <c r="A22" s="196" t="s">
        <v>182</v>
      </c>
      <c r="B22" s="196">
        <v>2</v>
      </c>
      <c r="C22" s="196"/>
      <c r="D22" s="196"/>
      <c r="E22" s="196">
        <v>12.99</v>
      </c>
      <c r="F22" s="196">
        <v>19.899999999999999</v>
      </c>
      <c r="G22" s="196"/>
      <c r="H22" s="196"/>
      <c r="I22" s="196">
        <v>19.899999999999999</v>
      </c>
      <c r="J22" s="196"/>
      <c r="K22" s="196"/>
      <c r="L22" s="196"/>
      <c r="M22" s="196"/>
      <c r="N22" s="196"/>
      <c r="O22" s="196"/>
      <c r="P22" s="196"/>
      <c r="Q22" s="196"/>
      <c r="R22">
        <f>(E22+F22+I22)/3</f>
        <v>17.596666666666668</v>
      </c>
      <c r="S22">
        <f t="shared" si="2"/>
        <v>35.193333333333335</v>
      </c>
      <c r="T22">
        <f t="shared" si="3"/>
        <v>2.9327777777777779</v>
      </c>
    </row>
    <row r="23" spans="1:20">
      <c r="A23" s="196" t="s">
        <v>183</v>
      </c>
      <c r="B23" s="196">
        <v>3</v>
      </c>
      <c r="C23" s="196"/>
      <c r="D23" s="196"/>
      <c r="E23" s="196"/>
      <c r="F23" s="196">
        <v>49.9</v>
      </c>
      <c r="G23" s="196">
        <v>49.63</v>
      </c>
      <c r="H23" s="196"/>
      <c r="I23" s="196"/>
      <c r="J23" s="196">
        <v>49</v>
      </c>
      <c r="K23" s="196"/>
      <c r="L23" s="196"/>
      <c r="M23" s="196"/>
      <c r="N23" s="196"/>
      <c r="O23" s="196"/>
      <c r="P23" s="196"/>
      <c r="Q23" s="196"/>
      <c r="R23">
        <f>(F23+G23+J23)/3</f>
        <v>49.51</v>
      </c>
      <c r="S23">
        <f t="shared" si="2"/>
        <v>148.53</v>
      </c>
      <c r="T23">
        <f t="shared" si="3"/>
        <v>12.3775</v>
      </c>
    </row>
    <row r="24" spans="1:20">
      <c r="A24" s="196" t="s">
        <v>184</v>
      </c>
      <c r="B24" s="196">
        <v>1</v>
      </c>
      <c r="C24" s="196">
        <v>39.9</v>
      </c>
      <c r="D24" s="196"/>
      <c r="E24" s="196"/>
      <c r="F24" s="196"/>
      <c r="G24" s="196"/>
      <c r="H24" s="196">
        <v>59.99</v>
      </c>
      <c r="I24" s="196"/>
      <c r="J24" s="196"/>
      <c r="K24" s="196">
        <v>49.9</v>
      </c>
      <c r="L24" s="196"/>
      <c r="M24" s="196"/>
      <c r="N24" s="196"/>
      <c r="O24" s="196"/>
      <c r="P24" s="196"/>
      <c r="Q24" s="196"/>
      <c r="R24">
        <f>(C24+H24+K24)/3</f>
        <v>49.93</v>
      </c>
      <c r="S24">
        <f t="shared" si="2"/>
        <v>49.93</v>
      </c>
      <c r="T24">
        <f t="shared" si="3"/>
        <v>4.1608333333333336</v>
      </c>
    </row>
    <row r="25" spans="1:20">
      <c r="A25" s="196" t="s">
        <v>207</v>
      </c>
      <c r="B25" s="196">
        <v>2</v>
      </c>
      <c r="C25" s="196">
        <v>39.99</v>
      </c>
      <c r="D25" s="196"/>
      <c r="E25" s="196"/>
      <c r="F25" s="196"/>
      <c r="G25" s="196"/>
      <c r="H25" s="196"/>
      <c r="I25" s="196">
        <v>65.900000000000006</v>
      </c>
      <c r="J25" s="196"/>
      <c r="K25" s="196"/>
      <c r="L25" s="196"/>
      <c r="M25" s="196"/>
      <c r="N25" s="196"/>
      <c r="O25" s="196"/>
      <c r="P25" s="196">
        <v>37.99</v>
      </c>
      <c r="Q25" s="196"/>
      <c r="R25">
        <f>(C25+P25+I25)/3</f>
        <v>47.96</v>
      </c>
      <c r="S25">
        <f t="shared" si="2"/>
        <v>95.92</v>
      </c>
      <c r="T25">
        <f t="shared" si="3"/>
        <v>7.9933333333333332</v>
      </c>
    </row>
    <row r="26" spans="1:20">
      <c r="A26" s="196" t="s">
        <v>208</v>
      </c>
      <c r="B26" s="196">
        <v>2</v>
      </c>
      <c r="C26" s="196">
        <v>19.989999999999998</v>
      </c>
      <c r="D26" s="196"/>
      <c r="E26" s="196"/>
      <c r="F26" s="196"/>
      <c r="G26" s="196"/>
      <c r="H26" s="196"/>
      <c r="I26" s="196"/>
      <c r="J26" s="196"/>
      <c r="K26" s="196">
        <v>49</v>
      </c>
      <c r="L26" s="196">
        <v>29.9</v>
      </c>
      <c r="M26" s="196"/>
      <c r="N26" s="196"/>
      <c r="O26" s="196"/>
      <c r="P26" s="196"/>
      <c r="Q26" s="196"/>
      <c r="R26">
        <f>(C26+K26+L26)/3</f>
        <v>32.963333333333331</v>
      </c>
      <c r="S26">
        <f t="shared" si="2"/>
        <v>65.926666666666662</v>
      </c>
      <c r="T26">
        <f t="shared" si="3"/>
        <v>5.4938888888888888</v>
      </c>
    </row>
    <row r="27" spans="1:20">
      <c r="A27" s="196" t="s">
        <v>209</v>
      </c>
      <c r="B27" s="196">
        <v>6</v>
      </c>
      <c r="C27" s="196"/>
      <c r="D27" s="196"/>
      <c r="E27" s="196"/>
      <c r="F27" s="196"/>
      <c r="G27" s="196"/>
      <c r="H27" s="196"/>
      <c r="I27" s="196"/>
      <c r="J27" s="196">
        <v>13.9</v>
      </c>
      <c r="K27" s="196">
        <v>11.9</v>
      </c>
      <c r="L27" s="196"/>
      <c r="M27" s="196"/>
      <c r="N27" s="196"/>
      <c r="O27" s="196">
        <v>15.28</v>
      </c>
      <c r="P27" s="196"/>
      <c r="Q27" s="196"/>
      <c r="R27">
        <f>(J27+K27+O27)/3</f>
        <v>13.693333333333333</v>
      </c>
      <c r="S27">
        <f t="shared" si="2"/>
        <v>82.16</v>
      </c>
      <c r="T27">
        <f t="shared" si="3"/>
        <v>6.8466666666666667</v>
      </c>
    </row>
    <row r="28" spans="1:20">
      <c r="A28" s="196" t="s">
        <v>187</v>
      </c>
      <c r="B28" s="196">
        <v>1</v>
      </c>
      <c r="C28" s="196">
        <v>35.9</v>
      </c>
      <c r="D28" s="196"/>
      <c r="E28" s="196"/>
      <c r="F28" s="196"/>
      <c r="G28" s="196"/>
      <c r="H28" s="196"/>
      <c r="I28" s="196">
        <v>39.9</v>
      </c>
      <c r="J28" s="196"/>
      <c r="K28" s="196"/>
      <c r="L28" s="196"/>
      <c r="M28" s="196"/>
      <c r="N28" s="196"/>
      <c r="O28" s="196"/>
      <c r="P28" s="196"/>
      <c r="Q28" s="196">
        <v>39.9</v>
      </c>
      <c r="R28">
        <f>(C28+Q28+I28)/3</f>
        <v>38.566666666666663</v>
      </c>
      <c r="S28">
        <f t="shared" si="2"/>
        <v>38.566666666666663</v>
      </c>
      <c r="T28">
        <f t="shared" si="3"/>
        <v>3.2138888888888886</v>
      </c>
    </row>
    <row r="29" spans="1:20">
      <c r="A29" s="196" t="s">
        <v>188</v>
      </c>
      <c r="B29" s="196">
        <v>1</v>
      </c>
      <c r="C29" s="196">
        <v>64.989999999999995</v>
      </c>
      <c r="D29" s="196"/>
      <c r="E29" s="196"/>
      <c r="F29" s="196"/>
      <c r="G29" s="196"/>
      <c r="H29" s="196">
        <v>39.99</v>
      </c>
      <c r="I29" s="196">
        <v>67.900000000000006</v>
      </c>
      <c r="J29" s="196"/>
      <c r="K29" s="196"/>
      <c r="L29" s="196"/>
      <c r="M29" s="196"/>
      <c r="N29" s="196"/>
      <c r="O29" s="196"/>
      <c r="P29" s="196"/>
      <c r="Q29" s="196"/>
      <c r="R29">
        <f>(C29+H29+I29)/3</f>
        <v>57.626666666666665</v>
      </c>
      <c r="S29">
        <f t="shared" si="2"/>
        <v>57.626666666666665</v>
      </c>
      <c r="T29">
        <f t="shared" si="3"/>
        <v>4.8022222222222224</v>
      </c>
    </row>
    <row r="30" spans="1:20">
      <c r="A30" s="205" t="s">
        <v>167</v>
      </c>
      <c r="B30" s="205">
        <v>1</v>
      </c>
      <c r="C30" s="196">
        <v>3</v>
      </c>
      <c r="D30" s="196"/>
      <c r="E30" s="196"/>
      <c r="F30" s="196"/>
      <c r="G30" s="196"/>
      <c r="H30" s="196"/>
      <c r="I30" s="196"/>
      <c r="J30" s="196"/>
      <c r="K30" s="196"/>
      <c r="L30" s="196"/>
      <c r="M30" s="196">
        <v>7</v>
      </c>
      <c r="N30" s="196">
        <v>7</v>
      </c>
      <c r="O30" s="196"/>
      <c r="P30" s="196"/>
      <c r="Q30" s="196"/>
      <c r="R30">
        <f>(C30+M30+N30)</f>
        <v>17</v>
      </c>
      <c r="S30">
        <f t="shared" si="2"/>
        <v>17</v>
      </c>
      <c r="T30">
        <f t="shared" si="3"/>
        <v>1.4166666666666667</v>
      </c>
    </row>
    <row r="31" spans="1:20">
      <c r="T31">
        <f>SUM(T18:T30)</f>
        <v>87.712222222222238</v>
      </c>
    </row>
    <row r="33" spans="19:19">
      <c r="S33" t="s">
        <v>218</v>
      </c>
    </row>
    <row r="34" spans="19:19">
      <c r="S34">
        <f>(S15+T31)/2</f>
        <v>87.825694444444451</v>
      </c>
    </row>
  </sheetData>
  <pageMargins left="0.511811024" right="0.511811024" top="0.78740157499999996" bottom="0.78740157499999996" header="0.31496062000000002" footer="0.31496062000000002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workbookViewId="0">
      <selection activeCell="M4" sqref="M4"/>
    </sheetView>
  </sheetViews>
  <sheetFormatPr defaultRowHeight="15"/>
  <cols>
    <col min="1" max="1" width="4.5703125" customWidth="1"/>
    <col min="2" max="2" width="28.28515625" customWidth="1"/>
  </cols>
  <sheetData>
    <row r="1" spans="1:13" ht="30">
      <c r="A1" s="196"/>
      <c r="B1" s="196" t="s">
        <v>240</v>
      </c>
      <c r="C1" s="196" t="s">
        <v>229</v>
      </c>
      <c r="D1" s="196" t="s">
        <v>230</v>
      </c>
      <c r="E1" s="196" t="s">
        <v>231</v>
      </c>
      <c r="F1" s="196" t="s">
        <v>232</v>
      </c>
      <c r="G1" s="143" t="s">
        <v>164</v>
      </c>
      <c r="H1" s="196" t="s">
        <v>233</v>
      </c>
      <c r="I1" s="143" t="s">
        <v>234</v>
      </c>
      <c r="J1" s="196" t="s">
        <v>235</v>
      </c>
      <c r="K1" s="143" t="s">
        <v>165</v>
      </c>
      <c r="L1" s="196" t="s">
        <v>236</v>
      </c>
      <c r="M1" s="143" t="s">
        <v>237</v>
      </c>
    </row>
    <row r="2" spans="1:13">
      <c r="A2" s="196">
        <v>1</v>
      </c>
      <c r="B2" s="196" t="s">
        <v>238</v>
      </c>
      <c r="C2" s="196">
        <v>4</v>
      </c>
      <c r="D2" s="196">
        <v>1.5</v>
      </c>
      <c r="E2" s="196">
        <v>3.19</v>
      </c>
      <c r="F2" s="196">
        <v>1.42</v>
      </c>
      <c r="G2" s="196"/>
      <c r="H2" s="196"/>
      <c r="I2" s="196"/>
      <c r="J2" s="196"/>
      <c r="K2" s="196">
        <f>(D2+E2+F2)/3</f>
        <v>2.0366666666666666</v>
      </c>
      <c r="L2" s="196">
        <f>K2*4</f>
        <v>8.1466666666666665</v>
      </c>
      <c r="M2" s="196">
        <f>L2/12</f>
        <v>0.67888888888888888</v>
      </c>
    </row>
    <row r="3" spans="1:13">
      <c r="A3" s="196">
        <v>2</v>
      </c>
      <c r="B3" s="196" t="s">
        <v>228</v>
      </c>
      <c r="C3" s="196">
        <v>2</v>
      </c>
      <c r="D3" s="196"/>
      <c r="E3" s="196"/>
      <c r="F3" s="196"/>
      <c r="G3" s="196">
        <v>57</v>
      </c>
      <c r="H3" s="196">
        <v>40.76</v>
      </c>
      <c r="I3" s="196">
        <v>135</v>
      </c>
      <c r="J3" s="196"/>
      <c r="K3" s="196">
        <f>(G3+H3+I3)/3</f>
        <v>77.586666666666659</v>
      </c>
      <c r="L3" s="196">
        <f>K3*C3</f>
        <v>155.17333333333332</v>
      </c>
      <c r="M3" s="196">
        <f>L3/12</f>
        <v>12.931111111111109</v>
      </c>
    </row>
    <row r="4" spans="1:13" ht="45">
      <c r="A4" s="196"/>
      <c r="B4" s="143" t="s">
        <v>239</v>
      </c>
      <c r="C4" s="196"/>
      <c r="D4" s="196"/>
      <c r="E4" s="196"/>
      <c r="F4" s="196"/>
      <c r="G4" s="196"/>
      <c r="H4" s="196"/>
      <c r="I4" s="196"/>
      <c r="J4" s="196"/>
      <c r="K4" s="196"/>
      <c r="L4" s="196">
        <f>SUM(L2:L3)</f>
        <v>163.32</v>
      </c>
      <c r="M4" s="196">
        <f>SUM(M2:M3)</f>
        <v>13.609999999999998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Geral</vt:lpstr>
      <vt:lpstr>Operador Chefe</vt:lpstr>
      <vt:lpstr>Oper áudio</vt:lpstr>
      <vt:lpstr>Insumos</vt:lpstr>
      <vt:lpstr>EPI</vt:lpstr>
    </vt:vector>
  </TitlesOfParts>
  <Company>Tribunal Regional do Trabalho da 9ª Região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Imoto</dc:creator>
  <cp:lastModifiedBy>Paulo Celso Gerva</cp:lastModifiedBy>
  <cp:lastPrinted>2015-12-10T16:27:21Z</cp:lastPrinted>
  <dcterms:created xsi:type="dcterms:W3CDTF">2015-09-30T12:36:33Z</dcterms:created>
  <dcterms:modified xsi:type="dcterms:W3CDTF">2015-12-16T20:30:23Z</dcterms:modified>
</cp:coreProperties>
</file>